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PA6cVBQ389ex9XOL56tYGXB32jgxu9xSVvp2GaVLcW1TmilKWhYVRnaDeEoWItzUM4A8baTQnpqoDaKfOv87DA==" workbookSaltValue="vJIMjfHgMsDZtKoS1VYP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A20" i="20"/>
  <c r="M20" i="20"/>
  <c r="F20" i="20"/>
  <c r="O20" i="20"/>
  <c r="AU20" i="20"/>
  <c r="W20" i="21"/>
  <c r="X20" i="20"/>
  <c r="AH20" i="20"/>
  <c r="AI20" i="20"/>
  <c r="AF20" i="20"/>
  <c r="AX20" i="20"/>
  <c r="AZ20" i="20"/>
  <c r="AG20" i="20"/>
  <c r="AC20" i="20"/>
  <c r="Q20" i="20"/>
  <c r="U10" i="11"/>
  <c r="Z20" i="20"/>
  <c r="AK19" i="8" l="1"/>
  <c r="F17" i="16"/>
  <c r="BL17" i="16" s="1"/>
  <c r="AM19" i="8"/>
  <c r="AC19" i="8"/>
  <c r="AA19" i="8"/>
  <c r="AI19" i="8"/>
  <c r="BE12" i="8"/>
  <c r="BG12" i="8"/>
  <c r="C12" i="14"/>
  <c r="K12" i="14" s="1"/>
  <c r="R19" i="8"/>
  <c r="T19" i="8"/>
  <c r="BG10" i="8"/>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J20" i="20"/>
  <c r="AL20" i="20"/>
  <c r="Y20" i="20"/>
  <c r="AE20" i="20"/>
  <c r="G13" i="14"/>
  <c r="AP20" i="20"/>
  <c r="T20" i="21"/>
  <c r="O10" i="11"/>
  <c r="AD20" i="20"/>
  <c r="R20" i="20"/>
  <c r="S20" i="20"/>
  <c r="AJ20" i="20"/>
  <c r="T20" i="20"/>
  <c r="J12" i="12" l="1"/>
  <c r="I15" i="12"/>
  <c r="BK13" i="11"/>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6" i="11"/>
  <c r="AV20" i="20"/>
  <c r="AW20" i="11"/>
  <c r="AV20" i="21"/>
  <c r="U17" i="11"/>
  <c r="AB20" i="20"/>
  <c r="H20" i="17"/>
  <c r="K16" i="7" l="1"/>
  <c r="G20" i="2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BA20" i="16"/>
  <c r="BG20" i="16"/>
  <c r="N20" i="17"/>
  <c r="AR20" i="17"/>
  <c r="AU20" i="16"/>
  <c r="P20" i="16"/>
  <c r="F20" i="17"/>
  <c r="K20" i="21"/>
  <c r="AS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O20" i="16"/>
  <c r="H20" i="11"/>
  <c r="AY20" i="21"/>
  <c r="O20" i="16"/>
  <c r="K20" i="16"/>
  <c r="AA20" i="11"/>
  <c r="Q20" i="11"/>
  <c r="AI20" i="21"/>
  <c r="F20" i="16"/>
  <c r="F20" i="11"/>
  <c r="AW20" i="17"/>
  <c r="AP20" i="17"/>
  <c r="J20" i="11"/>
  <c r="I20" i="16"/>
  <c r="BB20" i="16"/>
  <c r="AP20" i="21"/>
  <c r="AJ20" i="21"/>
  <c r="AC20" i="21"/>
  <c r="P20" i="17"/>
  <c r="J20" i="21"/>
  <c r="AO20" i="21"/>
  <c r="AR20" i="16"/>
  <c r="Z20" i="16"/>
  <c r="M20" i="16"/>
  <c r="AY20" i="16"/>
  <c r="AD20" i="11"/>
  <c r="AV20" i="16"/>
  <c r="T20" i="11"/>
  <c r="AN20" i="11"/>
  <c r="S20" i="11"/>
  <c r="AD20" i="21"/>
  <c r="AW20" i="21"/>
  <c r="E20" i="12"/>
  <c r="M20" i="17"/>
  <c r="S20" i="17"/>
  <c r="AZ20" i="11"/>
  <c r="AG20" i="16"/>
  <c r="BE20" i="16"/>
  <c r="AT20" i="16"/>
  <c r="R20" i="16"/>
  <c r="N20" i="21"/>
  <c r="AN20" i="17"/>
  <c r="H20" i="12"/>
  <c r="W20" i="16"/>
  <c r="AO20" i="17"/>
  <c r="AN20" i="21"/>
  <c r="AK20" i="17"/>
  <c r="X20" i="16"/>
  <c r="AW20" i="16"/>
  <c r="H20" i="16"/>
  <c r="AJ20" i="17"/>
  <c r="V20" i="17"/>
  <c r="E20" i="16"/>
  <c r="AG20" i="17"/>
  <c r="AM20" i="21"/>
  <c r="N20" i="11"/>
  <c r="U20" i="17"/>
  <c r="V20" i="21"/>
  <c r="Z20" i="17"/>
  <c r="AB20" i="11"/>
  <c r="H20" i="21"/>
  <c r="BM20" i="16"/>
  <c r="AJ20" i="11"/>
  <c r="AL20" i="11"/>
  <c r="Y20" i="16"/>
  <c r="P20" i="21"/>
  <c r="AS20" i="11"/>
  <c r="Y20" i="21"/>
  <c r="AZ20" i="16"/>
  <c r="O12" i="11"/>
  <c r="BF20" i="16"/>
  <c r="Y20" i="11"/>
  <c r="BD19" i="8" l="1"/>
  <c r="F21" i="11"/>
  <c r="AT20" i="21"/>
  <c r="BL20" i="16"/>
  <c r="AQ20" i="11"/>
  <c r="AQ20" i="17"/>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<sst xmlns="http://schemas.openxmlformats.org/spreadsheetml/2006/main" count="2094" uniqueCount="912">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</sst>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Rp8gwjNIi0ZhKZrLl0JeymL1e+fstU+aly6SfI1yE9J8UpICh+nYTjHKIJpGRMWs1bSENXTkaP2AISY5Bp4YA==" saltValue="vt5oJh32+BX5WHRiKtAB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99</v>
      </c>
      <c r="D10" s="228">
        <f>IF(ISNUMBER(Datos!I10),Datos!I10," - ")</f>
        <v>99</v>
      </c>
      <c r="E10" s="229">
        <f>IF(ISNUMBER(Datos!J10),Datos!J10," - ")</f>
        <v>7</v>
      </c>
      <c r="F10" s="229">
        <f>IF(ISNUMBER(Datos!K10),Datos!K10," - ")</f>
        <v>4</v>
      </c>
      <c r="G10" s="1037" t="str">
        <f>IF(Datos!E10&lt;&gt;"",Datos!E10,Datos!D10)</f>
        <v>37</v>
      </c>
      <c r="H10" s="230">
        <f>IF(ISNUMBER(Datos!L10),Datos!L10," - ")</f>
        <v>102</v>
      </c>
      <c r="I10" s="1047" t="str">
        <f>IF(ISNUMBER(Datos!AS10/Datos!BM10),Datos!AS10/Datos!BM10," - ")</f>
        <v xml:space="preserve"> - </v>
      </c>
      <c r="J10" s="1048">
        <f>IF(ISNUMBER(Datos!BY10/Datos!CN10),Datos!BY10/Datos!CN10," - ")</f>
        <v>0</v>
      </c>
      <c r="K10" s="233">
        <f t="shared" ref="K10:K12" si="1">IF(ISNUMBER((E10-F10)/C10),(E10-F10)/C10," - ")</f>
        <v>3.0303030303030304E-2</v>
      </c>
      <c r="L10" s="1028">
        <f>IF(ISNUMBER(NºAsuntos!I10/NºAsuntos!G10),(NºAsuntos!I10/NºAsuntos!G10)*11," - ")</f>
        <v>280.5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46.991422805247225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99</v>
      </c>
      <c r="D13" s="1052">
        <f>SUBTOTAL(9,D9:D12)</f>
        <v>99</v>
      </c>
      <c r="E13" s="1053">
        <f>SUBTOTAL(9,E9:E12)</f>
        <v>7</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2802</v>
      </c>
      <c r="D16" s="228">
        <f>IF(ISNUMBER(IF(D_I="SI",Datos!I16,Datos!I16+Datos!AC16)),IF(D_I="SI",Datos!I16,Datos!I16+Datos!AC16)," - ")</f>
        <v>2833</v>
      </c>
      <c r="E16" s="229">
        <f>IF(ISNUMBER(IF(D_I="SI",Datos!J16,Datos!J16+Datos!AD16)),IF(D_I="SI",Datos!J16,Datos!J16+Datos!AD16)," - ")</f>
        <v>2039</v>
      </c>
      <c r="F16" s="229">
        <f>IF(ISNUMBER(IF(D_I="SI",Datos!K16,Datos!K16+Datos!AE16)),IF(D_I="SI",Datos!K16,Datos!K16+Datos!AE16)," - ")</f>
        <v>1862</v>
      </c>
      <c r="G16" s="1037" t="str">
        <f>IF(Datos!E16&lt;&gt;"",Datos!E16,Datos!D16)</f>
        <v>04</v>
      </c>
      <c r="H16" s="230">
        <f>IF(ISNUMBER(IF(D_I="SI",Datos!L16,Datos!L16+Datos!AF16)),IF(D_I="SI",Datos!L16,Datos!L16+Datos!AF16)," - ")</f>
        <v>2979</v>
      </c>
      <c r="I16" s="1047" t="str">
        <f>IF(ISNUMBER(Datos!AS16/Datos!BM16),Datos!AS16/Datos!BM16," - ")</f>
        <v xml:space="preserve"> - </v>
      </c>
      <c r="J16" s="1048">
        <f>IF(ISNUMBER(Datos!BY16/Datos!CN16),Datos!BY16/Datos!CN16," - ")</f>
        <v>0</v>
      </c>
      <c r="K16" s="233">
        <f t="shared" si="3"/>
        <v>6.3169164882226986E-2</v>
      </c>
      <c r="L16" s="1028">
        <f>IF(ISNUMBER(NºAsuntos!I16/NºAsuntos!G16),(NºAsuntos!I16/NºAsuntos!G16)*11," - ")</f>
        <v>17.598818474758325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295</v>
      </c>
      <c r="D17" s="228">
        <f>IF(ISNUMBER(IF(D_I="SI",Datos!I17,Datos!I17+Datos!AC17)),IF(D_I="SI",Datos!I17,Datos!I17+Datos!AC17)," - ")</f>
        <v>295</v>
      </c>
      <c r="E17" s="229">
        <f>IF(ISNUMBER(IF(D_I="SI",Datos!J17,Datos!J17+Datos!AD17)),IF(D_I="SI",Datos!J17,Datos!J17+Datos!AD17)," - ")</f>
        <v>163</v>
      </c>
      <c r="F17" s="229">
        <f>IF(ISNUMBER(IF(D_I="SI",Datos!K17,Datos!K17+Datos!AE17)),IF(D_I="SI",Datos!K17,Datos!K17+Datos!AE17)," - ")</f>
        <v>207</v>
      </c>
      <c r="G17" s="1037" t="str">
        <f>IF(Datos!E17&lt;&gt;"",Datos!E17,Datos!D17)</f>
        <v>37</v>
      </c>
      <c r="H17" s="230">
        <f>IF(ISNUMBER(IF(D_I="SI",Datos!L17,Datos!L17+Datos!AF17)),IF(D_I="SI",Datos!L17,Datos!L17+Datos!AF17)," - ")</f>
        <v>251</v>
      </c>
      <c r="I17" s="1047" t="str">
        <f>IF(ISNUMBER(Datos!AS17/Datos!BM17),Datos!AS17/Datos!BM17," - ")</f>
        <v xml:space="preserve"> - </v>
      </c>
      <c r="J17" s="1048" t="str">
        <f>IF(ISNUMBER((Datos!BY17+Datos!BZ17)/Datos!CN17),(Datos!BY17+Datos!BZ17)/Datos!CN17," - ")</f>
        <v xml:space="preserve"> - </v>
      </c>
      <c r="K17" s="233">
        <f t="shared" si="3"/>
        <v>-0.14915254237288136</v>
      </c>
      <c r="L17" s="1028">
        <f>IF(ISNUMBER(NºAsuntos!I17/NºAsuntos!G17),(NºAsuntos!I17/NºAsuntos!G17)*11," - ")</f>
        <v>13.338164251207729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3097</v>
      </c>
      <c r="D18" s="1052">
        <f>SUBTOTAL(9,D15:D17)</f>
        <v>3128</v>
      </c>
      <c r="E18" s="1053">
        <f>SUBTOTAL(9,E15:E17)</f>
        <v>2202</v>
      </c>
      <c r="F18" s="1053">
        <f>SUBTOTAL(9,F15:F17)</f>
        <v>2069</v>
      </c>
      <c r="G18" s="1055" t="str">
        <f ca="1">INDIRECT(CONCATENATE("G",ROW()-1))</f>
        <v>37</v>
      </c>
      <c r="H18" s="1056">
        <f ca="1">SUMIF(G$14:G17,G18,H$14:H17)</f>
        <v>251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3196</v>
      </c>
      <c r="D19" s="1074">
        <f>SUBTOTAL(9,D9:D18)</f>
        <v>3227</v>
      </c>
      <c r="E19" s="1075">
        <f>SUBTOTAL(9,E9:E18)</f>
        <v>2209</v>
      </c>
      <c r="F19" s="1075">
        <f>SUBTOTAL(9,F9:F18)</f>
        <v>2073</v>
      </c>
      <c r="G19" s="1076"/>
      <c r="H19" s="1077">
        <f ca="1">SUMIF(B9:B18,"TOTAL",H9:H18)</f>
        <v>251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OAeZn6BcJ0QwMe/qmf8baL56aKxpK3Eoqs+iu9+7NbTLZdxjYJQGVJljv1coz+eynoKeZOlQ4tvtRLnPToWtQ==" saltValue="CKBD4avzQFNJPRYjWSIj6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m4Zxh9w6dKxN0XpQ1wIi0+Qw92b8HXQVNkpL0Mm2bOt+luPskmDFyzIOKC7wgcnVGkb4ui0sZweagmAQw8aKA==" saltValue="aw0SrS9RQONBXwEUyRJA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99</v>
      </c>
      <c r="J10" s="184">
        <v>7</v>
      </c>
      <c r="K10" s="184">
        <v>4</v>
      </c>
      <c r="L10" s="184">
        <v>102</v>
      </c>
      <c r="M10" s="184">
        <v>4</v>
      </c>
      <c r="N10" s="184">
        <v>0</v>
      </c>
      <c r="O10" s="184">
        <v>0</v>
      </c>
      <c r="P10" s="184">
        <v>0</v>
      </c>
      <c r="Q10" s="184">
        <v>0</v>
      </c>
      <c r="R10" s="184">
        <v>38</v>
      </c>
      <c r="S10" s="184">
        <v>103</v>
      </c>
      <c r="T10" s="184">
        <v>15</v>
      </c>
      <c r="U10" s="184">
        <v>7</v>
      </c>
      <c r="V10" s="184">
        <v>111</v>
      </c>
      <c r="W10" s="184">
        <v>6</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103</v>
      </c>
      <c r="AZ10" s="129">
        <f t="shared" si="0"/>
        <v>15</v>
      </c>
      <c r="BA10" s="129">
        <f t="shared" si="0"/>
        <v>7</v>
      </c>
      <c r="BB10" s="129">
        <f t="shared" si="0"/>
        <v>111</v>
      </c>
      <c r="BC10" s="125">
        <f t="shared" si="0"/>
        <v>6</v>
      </c>
      <c r="BD10" s="126">
        <f>IF(ISNUMBER(BA10/AZ10),BA10/AZ10," - ")</f>
        <v>0.46666666666666667</v>
      </c>
      <c r="BE10" s="127">
        <f>IF(ISNUMBER(BB10/BA10),BB10/BA10, " - ")</f>
        <v>15.857142857142858</v>
      </c>
      <c r="BF10" s="127">
        <f>IF(ISNUMBER(BC10/BA10),BC10/BA10, " - ")</f>
        <v>0.8571428571428571</v>
      </c>
      <c r="BG10" s="199">
        <f>IF(ISNUMBER((AY10+AZ10)/BA10),(AY10+AZ10)/BA10," - ")</f>
        <v>16.857142857142858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8114</v>
      </c>
      <c r="J12" s="186">
        <v>1915</v>
      </c>
      <c r="K12" s="186">
        <v>1753</v>
      </c>
      <c r="L12" s="186">
        <v>8276</v>
      </c>
      <c r="M12" s="186">
        <v>712</v>
      </c>
      <c r="N12" s="186">
        <v>653</v>
      </c>
      <c r="O12" s="184">
        <v>743</v>
      </c>
      <c r="P12" s="186">
        <v>396</v>
      </c>
      <c r="Q12" s="186">
        <v>230</v>
      </c>
      <c r="R12" s="186">
        <v>8432</v>
      </c>
      <c r="S12" s="186">
        <v>7155</v>
      </c>
      <c r="T12" s="186">
        <v>1668</v>
      </c>
      <c r="U12" s="186">
        <v>1442</v>
      </c>
      <c r="V12" s="186">
        <v>7375</v>
      </c>
      <c r="W12" s="186">
        <v>526</v>
      </c>
      <c r="X12" s="192">
        <v>617</v>
      </c>
      <c r="Y12" s="194">
        <v>195</v>
      </c>
      <c r="Z12" s="184">
        <v>225</v>
      </c>
      <c r="AA12" s="184">
        <v>229</v>
      </c>
      <c r="AB12" s="184">
        <v>191</v>
      </c>
      <c r="AC12" s="186">
        <v>0</v>
      </c>
      <c r="AD12" s="186">
        <v>0</v>
      </c>
      <c r="AE12" s="186">
        <v>0</v>
      </c>
      <c r="AF12" s="192">
        <v>0</v>
      </c>
      <c r="AG12" s="205">
        <v>206</v>
      </c>
      <c r="AH12" s="186">
        <v>226</v>
      </c>
      <c r="AI12" s="186">
        <v>218</v>
      </c>
      <c r="AJ12" s="206">
        <v>214</v>
      </c>
      <c r="AK12" s="185">
        <v>0</v>
      </c>
      <c r="AL12" s="186">
        <v>0</v>
      </c>
      <c r="AM12" s="186">
        <v>0</v>
      </c>
      <c r="AN12" s="192">
        <v>0</v>
      </c>
      <c r="AO12" s="262">
        <v>7</v>
      </c>
      <c r="AP12" s="158">
        <v>7</v>
      </c>
      <c r="AQ12" s="158">
        <v>7</v>
      </c>
      <c r="AR12" s="157">
        <v>7</v>
      </c>
      <c r="AS12" s="343" t="s">
        <v>807</v>
      </c>
      <c r="AT12" s="206"/>
      <c r="AU12" s="205"/>
      <c r="AV12" s="206"/>
      <c r="AW12" s="205"/>
      <c r="AX12" s="206"/>
      <c r="AY12" s="126">
        <f t="shared" si="1"/>
        <v>7361</v>
      </c>
      <c r="AZ12" s="127">
        <f t="shared" si="1"/>
        <v>1894</v>
      </c>
      <c r="BA12" s="127">
        <f t="shared" si="1"/>
        <v>1660</v>
      </c>
      <c r="BB12" s="127">
        <f t="shared" si="1"/>
        <v>7589</v>
      </c>
      <c r="BC12" s="125">
        <f>IF(ISNUMBER(X12),X12," - ")</f>
        <v>617</v>
      </c>
      <c r="BD12" s="126">
        <f t="shared" si="2"/>
        <v>0.87645195353748684</v>
      </c>
      <c r="BE12" s="127">
        <f t="shared" si="3"/>
        <v>4.5716867469879521</v>
      </c>
      <c r="BF12" s="127">
        <f t="shared" si="4"/>
        <v>0.37168674698795179</v>
      </c>
      <c r="BG12" s="199">
        <f t="shared" si="5"/>
        <v>5.5753012048192767</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8213</v>
      </c>
      <c r="J13" s="187">
        <f t="shared" si="6"/>
        <v>1922</v>
      </c>
      <c r="K13" s="187">
        <f t="shared" si="6"/>
        <v>1757</v>
      </c>
      <c r="L13" s="187">
        <f t="shared" si="6"/>
        <v>8378</v>
      </c>
      <c r="M13" s="187">
        <f t="shared" si="6"/>
        <v>716</v>
      </c>
      <c r="N13" s="187">
        <f t="shared" si="6"/>
        <v>653</v>
      </c>
      <c r="O13" s="187">
        <f t="shared" si="6"/>
        <v>743</v>
      </c>
      <c r="P13" s="187">
        <f t="shared" si="6"/>
        <v>396</v>
      </c>
      <c r="Q13" s="187">
        <f t="shared" si="6"/>
        <v>230</v>
      </c>
      <c r="R13" s="187">
        <f t="shared" si="6"/>
        <v>8470</v>
      </c>
      <c r="S13" s="187">
        <f t="shared" si="6"/>
        <v>7258</v>
      </c>
      <c r="T13" s="187">
        <f t="shared" si="6"/>
        <v>1683</v>
      </c>
      <c r="U13" s="187">
        <f t="shared" si="6"/>
        <v>1449</v>
      </c>
      <c r="V13" s="187">
        <f t="shared" si="6"/>
        <v>7486</v>
      </c>
      <c r="W13" s="187">
        <f t="shared" si="6"/>
        <v>532</v>
      </c>
      <c r="X13" s="187">
        <f t="shared" si="6"/>
        <v>618</v>
      </c>
      <c r="Y13" s="187">
        <f t="shared" si="6"/>
        <v>195</v>
      </c>
      <c r="Z13" s="187">
        <f t="shared" si="6"/>
        <v>225</v>
      </c>
      <c r="AA13" s="187">
        <f t="shared" si="6"/>
        <v>229</v>
      </c>
      <c r="AB13" s="187">
        <f t="shared" si="6"/>
        <v>191</v>
      </c>
      <c r="AC13" s="187">
        <f t="shared" si="6"/>
        <v>0</v>
      </c>
      <c r="AD13" s="187">
        <f t="shared" si="6"/>
        <v>0</v>
      </c>
      <c r="AE13" s="187">
        <f t="shared" si="6"/>
        <v>0</v>
      </c>
      <c r="AF13" s="187">
        <f>SUBTOTAL(9,AF9:AF12)</f>
        <v>0</v>
      </c>
      <c r="AG13" s="187">
        <f t="shared" ref="AG13:AT13" si="7">SUBTOTAL(9,AG8:AG12)</f>
        <v>206</v>
      </c>
      <c r="AH13" s="187">
        <f t="shared" si="7"/>
        <v>226</v>
      </c>
      <c r="AI13" s="187">
        <f t="shared" si="7"/>
        <v>218</v>
      </c>
      <c r="AJ13" s="187">
        <f t="shared" si="7"/>
        <v>214</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7464</v>
      </c>
      <c r="AZ13" s="187">
        <f>SUBTOTAL(9,AZ8:AZ12)</f>
        <v>1909</v>
      </c>
      <c r="BA13" s="187">
        <f>SUBTOTAL(9,BA8:BA12)</f>
        <v>1667</v>
      </c>
      <c r="BB13" s="187">
        <f>SUBTOTAL(9,BB8:BB12)</f>
        <v>7700</v>
      </c>
      <c r="BC13" s="187">
        <f>SUBTOTAL(9,BC8:BC12)</f>
        <v>623</v>
      </c>
      <c r="BD13" s="208">
        <f>IF(ISNUMBER(BA13/AZ13),BA13/AZ13," - ")</f>
        <v>0.87323205866946041</v>
      </c>
      <c r="BE13" s="209">
        <f>IF(ISNUMBER(BB13/BA13),BB13/BA13, " - ")</f>
        <v>4.6190761847630473</v>
      </c>
      <c r="BF13" s="209">
        <f>IF(ISNUMBER(BC13/BA13),BC13/BA13, " - ")</f>
        <v>0.37372525494901021</v>
      </c>
      <c r="BG13" s="210">
        <f>IF(ISNUMBER((AY13+AZ13)/BA13),(AY13+AZ13)/BA13," - ")</f>
        <v>5.6226754649070187</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2833</v>
      </c>
      <c r="J16" s="186">
        <v>2039</v>
      </c>
      <c r="K16" s="186">
        <v>1862</v>
      </c>
      <c r="L16" s="186">
        <v>2979</v>
      </c>
      <c r="M16" s="186">
        <v>316</v>
      </c>
      <c r="N16" s="186">
        <v>1016</v>
      </c>
      <c r="O16" s="184">
        <v>29</v>
      </c>
      <c r="P16" s="186">
        <v>144</v>
      </c>
      <c r="Q16" s="186">
        <v>100</v>
      </c>
      <c r="R16" s="186">
        <v>356</v>
      </c>
      <c r="S16" s="186">
        <v>2574</v>
      </c>
      <c r="T16" s="186">
        <v>1940</v>
      </c>
      <c r="U16" s="186">
        <v>1800</v>
      </c>
      <c r="V16" s="186">
        <v>2713</v>
      </c>
      <c r="W16" s="186">
        <v>270</v>
      </c>
      <c r="X16" s="192">
        <v>865</v>
      </c>
      <c r="Y16" s="205">
        <v>0</v>
      </c>
      <c r="Z16" s="186">
        <v>0</v>
      </c>
      <c r="AA16" s="186">
        <v>0</v>
      </c>
      <c r="AB16" s="186">
        <v>0</v>
      </c>
      <c r="AC16" s="186">
        <v>0</v>
      </c>
      <c r="AD16" s="186">
        <v>15</v>
      </c>
      <c r="AE16" s="186">
        <v>12</v>
      </c>
      <c r="AF16" s="192">
        <v>3</v>
      </c>
      <c r="AG16" s="205">
        <v>0</v>
      </c>
      <c r="AH16" s="186">
        <v>0</v>
      </c>
      <c r="AI16" s="186">
        <v>0</v>
      </c>
      <c r="AJ16" s="206">
        <v>0</v>
      </c>
      <c r="AK16" s="185">
        <v>0</v>
      </c>
      <c r="AL16" s="186">
        <v>34</v>
      </c>
      <c r="AM16" s="186">
        <v>34</v>
      </c>
      <c r="AN16" s="192">
        <v>0</v>
      </c>
      <c r="AO16" s="262">
        <v>7</v>
      </c>
      <c r="AP16" s="158">
        <v>7</v>
      </c>
      <c r="AQ16" s="158">
        <v>7</v>
      </c>
      <c r="AR16" s="158">
        <v>7</v>
      </c>
      <c r="AS16" s="343" t="s">
        <v>491</v>
      </c>
      <c r="AT16" s="206"/>
      <c r="AU16" s="205"/>
      <c r="AV16" s="206"/>
      <c r="AW16" s="205"/>
      <c r="AX16" s="206"/>
      <c r="AY16" s="126">
        <f t="shared" si="9"/>
        <v>2574</v>
      </c>
      <c r="AZ16" s="127">
        <f t="shared" si="9"/>
        <v>1940</v>
      </c>
      <c r="BA16" s="127">
        <f t="shared" si="9"/>
        <v>1800</v>
      </c>
      <c r="BB16" s="127">
        <f t="shared" si="9"/>
        <v>2713</v>
      </c>
      <c r="BC16" s="125">
        <f>IF(ISNUMBER(W16),W16," - ")</f>
        <v>270</v>
      </c>
      <c r="BD16" s="126">
        <f t="shared" ref="BD16" si="11">IF(ISNUMBER(BA16/AZ16),BA16/AZ16," - ")</f>
        <v>0.92783505154639179</v>
      </c>
      <c r="BE16" s="127">
        <f t="shared" ref="BE16" si="12">IF(ISNUMBER(BB16/BA16),BB16/BA16, " - ")</f>
        <v>1.5072222222222222</v>
      </c>
      <c r="BF16" s="127">
        <f t="shared" ref="BF16" si="13">IF(ISNUMBER(BC16/BA16),BC16/BA16, " - ")</f>
        <v>0.15</v>
      </c>
      <c r="BG16" s="199">
        <f t="shared" si="10"/>
        <v>2.5077777777777777</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295</v>
      </c>
      <c r="J17" s="186">
        <v>163</v>
      </c>
      <c r="K17" s="186">
        <v>207</v>
      </c>
      <c r="L17" s="186">
        <v>251</v>
      </c>
      <c r="M17" s="186">
        <v>30</v>
      </c>
      <c r="N17" s="186">
        <v>122</v>
      </c>
      <c r="O17" s="186">
        <v>0</v>
      </c>
      <c r="P17" s="186">
        <v>0</v>
      </c>
      <c r="Q17" s="186">
        <v>0</v>
      </c>
      <c r="R17" s="186">
        <v>12</v>
      </c>
      <c r="S17" s="186">
        <v>410</v>
      </c>
      <c r="T17" s="186">
        <v>188</v>
      </c>
      <c r="U17" s="186">
        <v>116</v>
      </c>
      <c r="V17" s="186">
        <v>482</v>
      </c>
      <c r="W17" s="186">
        <v>21</v>
      </c>
      <c r="X17" s="192">
        <v>79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410</v>
      </c>
      <c r="AZ17" s="129">
        <f t="shared" si="14"/>
        <v>188</v>
      </c>
      <c r="BA17" s="129">
        <f t="shared" si="14"/>
        <v>116</v>
      </c>
      <c r="BB17" s="129">
        <f t="shared" si="14"/>
        <v>482</v>
      </c>
      <c r="BC17" s="125">
        <f>IF(ISNUMBER(W17),W17," - ")</f>
        <v>21</v>
      </c>
      <c r="BD17" s="126">
        <f>IF(ISNUMBER(BA17/AZ17),BA17/AZ17," - ")</f>
        <v>0.61702127659574468</v>
      </c>
      <c r="BE17" s="127">
        <f>IF(ISNUMBER(BB17/BA17),BB17/BA17, " - ")</f>
        <v>4.1551724137931032</v>
      </c>
      <c r="BF17" s="127">
        <f>IF(ISNUMBER(BC17/BA17),BC17/BA17, " - ")</f>
        <v>0.18103448275862069</v>
      </c>
      <c r="BG17" s="199">
        <f>IF(ISNUMBER((AY17+AZ17)/BA17),(AY17+AZ17)/BA17," - ")</f>
        <v>5.1551724137931032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3128</v>
      </c>
      <c r="J18" s="187">
        <f t="shared" si="15"/>
        <v>2202</v>
      </c>
      <c r="K18" s="187">
        <f t="shared" si="15"/>
        <v>2069</v>
      </c>
      <c r="L18" s="187">
        <f t="shared" si="15"/>
        <v>3230</v>
      </c>
      <c r="M18" s="187">
        <f t="shared" si="15"/>
        <v>346</v>
      </c>
      <c r="N18" s="187">
        <f t="shared" si="15"/>
        <v>1138</v>
      </c>
      <c r="O18" s="187">
        <f t="shared" si="15"/>
        <v>29</v>
      </c>
      <c r="P18" s="187">
        <f t="shared" si="15"/>
        <v>144</v>
      </c>
      <c r="Q18" s="187">
        <f t="shared" si="15"/>
        <v>100</v>
      </c>
      <c r="R18" s="187">
        <f t="shared" si="15"/>
        <v>368</v>
      </c>
      <c r="S18" s="187">
        <f t="shared" si="15"/>
        <v>2984</v>
      </c>
      <c r="T18" s="187">
        <f t="shared" si="15"/>
        <v>2128</v>
      </c>
      <c r="U18" s="187">
        <f t="shared" si="15"/>
        <v>1916</v>
      </c>
      <c r="V18" s="187">
        <f t="shared" si="15"/>
        <v>3195</v>
      </c>
      <c r="W18" s="187">
        <f t="shared" si="15"/>
        <v>291</v>
      </c>
      <c r="X18" s="187">
        <f t="shared" si="15"/>
        <v>944</v>
      </c>
      <c r="Y18" s="187">
        <f t="shared" si="15"/>
        <v>0</v>
      </c>
      <c r="Z18" s="187">
        <f t="shared" si="15"/>
        <v>0</v>
      </c>
      <c r="AA18" s="187">
        <f t="shared" si="15"/>
        <v>0</v>
      </c>
      <c r="AB18" s="187">
        <f t="shared" si="15"/>
        <v>0</v>
      </c>
      <c r="AC18" s="187">
        <f t="shared" si="15"/>
        <v>0</v>
      </c>
      <c r="AD18" s="187">
        <f t="shared" si="15"/>
        <v>15</v>
      </c>
      <c r="AE18" s="187">
        <f t="shared" si="15"/>
        <v>12</v>
      </c>
      <c r="AF18" s="187">
        <f t="shared" si="15"/>
        <v>3</v>
      </c>
      <c r="AG18" s="187">
        <f t="shared" si="15"/>
        <v>0</v>
      </c>
      <c r="AH18" s="187">
        <f t="shared" si="15"/>
        <v>0</v>
      </c>
      <c r="AI18" s="187">
        <f t="shared" si="15"/>
        <v>0</v>
      </c>
      <c r="AJ18" s="187">
        <f t="shared" si="15"/>
        <v>0</v>
      </c>
      <c r="AK18" s="187">
        <f t="shared" si="15"/>
        <v>0</v>
      </c>
      <c r="AL18" s="187">
        <f t="shared" si="15"/>
        <v>34</v>
      </c>
      <c r="AM18" s="187">
        <f t="shared" si="15"/>
        <v>34</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2984</v>
      </c>
      <c r="AZ18" s="187">
        <f>SUBTOTAL(9,AZ14:AZ17)</f>
        <v>2128</v>
      </c>
      <c r="BA18" s="187">
        <f>SUBTOTAL(9,BA14:BA17)</f>
        <v>1916</v>
      </c>
      <c r="BB18" s="187">
        <f>SUBTOTAL(9,BB14:BB17)</f>
        <v>3195</v>
      </c>
      <c r="BC18" s="187">
        <f>SUBTOTAL(9,BC14:BC17)</f>
        <v>291</v>
      </c>
      <c r="BD18" s="208">
        <f>IF(ISNUMBER(BA18/AZ18),BA18/AZ18," - ")</f>
        <v>0.90037593984962405</v>
      </c>
      <c r="BE18" s="209">
        <f>IF(ISNUMBER(BB18/BA18),BB18/BA18, " - ")</f>
        <v>1.6675365344467641</v>
      </c>
      <c r="BF18" s="209">
        <f>IF(ISNUMBER(BC18/BA18),BC18/BA18, " - ")</f>
        <v>0.15187891440501045</v>
      </c>
      <c r="BG18" s="210">
        <f>IF(ISNUMBER((AY18+AZ18)/BA18),(AY18+AZ18)/BA18," - ")</f>
        <v>2.6680584551148225</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11341</v>
      </c>
      <c r="J19" s="134">
        <f t="shared" si="18"/>
        <v>4124</v>
      </c>
      <c r="K19" s="134">
        <f t="shared" si="18"/>
        <v>3826</v>
      </c>
      <c r="L19" s="134">
        <f t="shared" si="18"/>
        <v>11608</v>
      </c>
      <c r="M19" s="134">
        <f t="shared" si="18"/>
        <v>1062</v>
      </c>
      <c r="N19" s="134">
        <f t="shared" si="18"/>
        <v>1791</v>
      </c>
      <c r="O19" s="134">
        <f t="shared" si="18"/>
        <v>772</v>
      </c>
      <c r="P19" s="134">
        <f t="shared" si="18"/>
        <v>540</v>
      </c>
      <c r="Q19" s="134">
        <f t="shared" si="18"/>
        <v>330</v>
      </c>
      <c r="R19" s="134">
        <f t="shared" si="18"/>
        <v>8838</v>
      </c>
      <c r="S19" s="134">
        <f t="shared" si="18"/>
        <v>10242</v>
      </c>
      <c r="T19" s="134">
        <f t="shared" si="18"/>
        <v>3811</v>
      </c>
      <c r="U19" s="134">
        <f t="shared" si="18"/>
        <v>3365</v>
      </c>
      <c r="V19" s="134">
        <f t="shared" si="18"/>
        <v>10681</v>
      </c>
      <c r="W19" s="134">
        <f t="shared" si="18"/>
        <v>823</v>
      </c>
      <c r="X19" s="134">
        <f t="shared" si="18"/>
        <v>1562</v>
      </c>
      <c r="Y19" s="134">
        <f t="shared" si="18"/>
        <v>195</v>
      </c>
      <c r="Z19" s="134">
        <f t="shared" si="18"/>
        <v>225</v>
      </c>
      <c r="AA19" s="134">
        <f t="shared" si="18"/>
        <v>229</v>
      </c>
      <c r="AB19" s="134">
        <f t="shared" si="18"/>
        <v>191</v>
      </c>
      <c r="AC19" s="134">
        <f t="shared" si="18"/>
        <v>0</v>
      </c>
      <c r="AD19" s="134">
        <f t="shared" si="18"/>
        <v>15</v>
      </c>
      <c r="AE19" s="134">
        <f t="shared" si="18"/>
        <v>12</v>
      </c>
      <c r="AF19" s="134">
        <f t="shared" si="18"/>
        <v>3</v>
      </c>
      <c r="AG19" s="134">
        <f t="shared" si="18"/>
        <v>206</v>
      </c>
      <c r="AH19" s="134">
        <f t="shared" si="18"/>
        <v>226</v>
      </c>
      <c r="AI19" s="134">
        <f t="shared" si="18"/>
        <v>218</v>
      </c>
      <c r="AJ19" s="134">
        <f t="shared" si="18"/>
        <v>214</v>
      </c>
      <c r="AK19" s="134">
        <f t="shared" si="18"/>
        <v>0</v>
      </c>
      <c r="AL19" s="134">
        <f t="shared" si="18"/>
        <v>34</v>
      </c>
      <c r="AM19" s="134">
        <f t="shared" si="18"/>
        <v>34</v>
      </c>
      <c r="AN19" s="213">
        <f t="shared" si="18"/>
        <v>0</v>
      </c>
      <c r="AO19" s="214">
        <v>8</v>
      </c>
      <c r="AP19" s="214">
        <v>7</v>
      </c>
      <c r="AQ19" s="214">
        <v>7</v>
      </c>
      <c r="AR19" s="214">
        <v>7</v>
      </c>
      <c r="AS19" s="156">
        <f t="shared" si="18"/>
        <v>0</v>
      </c>
      <c r="AT19" s="156">
        <f t="shared" si="18"/>
        <v>0</v>
      </c>
      <c r="AU19" s="214"/>
      <c r="AV19" s="215"/>
      <c r="AW19" s="214"/>
      <c r="AX19" s="215"/>
      <c r="AY19" s="133">
        <f>SUBTOTAL(9,AY9:AY18)</f>
        <v>10448</v>
      </c>
      <c r="AZ19" s="134">
        <f>SUBTOTAL(9,AZ9:AZ18)</f>
        <v>4037</v>
      </c>
      <c r="BA19" s="134">
        <f>SUBTOTAL(9,BA9:BA18)</f>
        <v>3583</v>
      </c>
      <c r="BB19" s="134">
        <f>SUBTOTAL(9,BB9:BB18)</f>
        <v>10895</v>
      </c>
      <c r="BC19" s="135">
        <f>SUBTOTAL(9,BC9:BC18)</f>
        <v>914</v>
      </c>
      <c r="BD19" s="216">
        <f>IF(ISNUMBER(BA19/AZ19),BA19/AZ19," - ")</f>
        <v>0.88754025266286851</v>
      </c>
      <c r="BE19" s="213">
        <f>IF(ISNUMBER(BB19/BA19),BB19/BA19, " - ")</f>
        <v>3.0407479765559589</v>
      </c>
      <c r="BF19" s="213">
        <f>IF(ISNUMBER(BC19/BA19),BC19/BA19, " - ")</f>
        <v>0.25509349706949486</v>
      </c>
      <c r="BG19" s="135">
        <f>IF(ISNUMBER((AY19+AZ19)/BA19),(AY19+AZ19)/BA19," - ")</f>
        <v>4.0427016466648062</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iX+Sn8mquQRujLJ1N9RXnE0HnAGwSUE0i/LqwMGb0Wti9SJevP5OWBx7Q2L/71E9F5DTddARKZOv6oS36wGcQ==" saltValue="7JI1oxeArPhwrPrLvHC+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tCY8a/dPwMp8mgqAESoKbx5QweycGWxQkPFaiwypDsr7siBLZ6rCz6B8QQJWi8aY9P2GVqmwvoEC9+Y2h0hOw==" saltValue="UMTRUQb0uVlhW2vck84L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CIUDAD REAL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99</v>
      </c>
      <c r="G10" s="336">
        <f>IF(ISNUMBER(Datos!I10),Datos!I10," - ")</f>
        <v>99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102</v>
      </c>
      <c r="AG10" s="337"/>
      <c r="AH10" s="337"/>
      <c r="AI10" s="337"/>
      <c r="AJ10" s="337"/>
      <c r="AK10" s="337"/>
      <c r="AL10" s="482"/>
      <c r="AM10" s="338">
        <f>IF(ISNUMBER(Datos!R10),Datos!R10," - ")</f>
        <v>38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0.5714285714285714</v>
      </c>
      <c r="BH10" s="263">
        <f>IF(ISNUMBER(((Datos!L10/Datos!K10)*11)/factor_trimestre),((Datos!L10/Datos!K10)*11)/factor_trimestre," - ")</f>
        <v>76.5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225</v>
      </c>
      <c r="O12" s="337"/>
      <c r="P12" s="337"/>
      <c r="Q12" s="229">
        <f>IF(ISNUMBER(Datos!P12),Datos!P12,0)</f>
        <v>396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191</v>
      </c>
      <c r="AI12" s="337" t="str">
        <f>IF(ISNUMBER(Datos!CD12),Datos!CD12,"-")</f>
        <v>-</v>
      </c>
      <c r="AJ12" s="337" t="str">
        <f>IF(ISNUMBER(Datos!EN12),Datos!EN12," - ")</f>
        <v xml:space="preserve"> - </v>
      </c>
      <c r="AK12" s="337"/>
      <c r="AL12" s="482"/>
      <c r="AM12" s="338">
        <f>IF(ISNUMBER(Datos!R12),Datos!R12," - ")</f>
        <v>8432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712</v>
      </c>
      <c r="BD12" s="232">
        <f>IF(ISNUMBER(Datos!N12),Datos!N12," - ")</f>
        <v>653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0.92616822429906542</v>
      </c>
      <c r="BH12" s="263">
        <f>IF(ISNUMBER(((IF(J_V="SI",Datos!L12/Datos!K12,(Datos!L12+Datos!AB12)/(Datos!K12+Datos!AA12)))*11)/factor_trimestre),((IF(J_V="SI",Datos!L12/Datos!K12,(Datos!L12+Datos!AB12)/(Datos!K12+Datos!AA12)))*11)/factor_trimestre," - ")</f>
        <v>12.815842583249244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2.008226469876603E-2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99</v>
      </c>
      <c r="G13" s="901">
        <f t="shared" si="0"/>
        <v>99</v>
      </c>
      <c r="H13" s="902">
        <f t="shared" si="0"/>
        <v>0</v>
      </c>
      <c r="I13" s="901">
        <f t="shared" si="0"/>
        <v>0</v>
      </c>
      <c r="J13" s="870">
        <f t="shared" si="0"/>
        <v>0</v>
      </c>
      <c r="K13" s="870">
        <f t="shared" si="0"/>
        <v>0</v>
      </c>
      <c r="L13" s="902">
        <f t="shared" si="0"/>
        <v>0</v>
      </c>
      <c r="M13" s="902">
        <f t="shared" si="0"/>
        <v>0</v>
      </c>
      <c r="N13" s="902">
        <f t="shared" si="0"/>
        <v>225</v>
      </c>
      <c r="O13" s="903">
        <f t="shared" si="0"/>
        <v>0</v>
      </c>
      <c r="P13" s="903">
        <f t="shared" si="0"/>
        <v>0</v>
      </c>
      <c r="Q13" s="902">
        <f t="shared" si="0"/>
        <v>396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230</v>
      </c>
      <c r="AD13" s="902">
        <f t="shared" si="1"/>
        <v>0</v>
      </c>
      <c r="AE13" s="902">
        <f t="shared" si="1"/>
        <v>0</v>
      </c>
      <c r="AF13" s="902">
        <f t="shared" si="1"/>
        <v>102</v>
      </c>
      <c r="AG13" s="902">
        <f t="shared" si="1"/>
        <v>0</v>
      </c>
      <c r="AH13" s="902">
        <f t="shared" si="1"/>
        <v>191</v>
      </c>
      <c r="AI13" s="902">
        <f t="shared" si="1"/>
        <v>0</v>
      </c>
      <c r="AJ13" s="902">
        <f t="shared" si="1"/>
        <v>0</v>
      </c>
      <c r="AK13" s="902">
        <f t="shared" si="1"/>
        <v>0</v>
      </c>
      <c r="AL13" s="902">
        <f t="shared" si="1"/>
        <v>0</v>
      </c>
      <c r="AM13" s="902">
        <f t="shared" si="1"/>
        <v>8470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716</v>
      </c>
      <c r="BD13" s="902">
        <f t="shared" si="1"/>
        <v>653</v>
      </c>
      <c r="BE13" s="902">
        <f t="shared" si="1"/>
        <v>0</v>
      </c>
      <c r="BF13" s="902">
        <f t="shared" si="1"/>
        <v>0</v>
      </c>
      <c r="BG13" s="902">
        <f>IF(ISNUMBER(Datos!K13/Datos!J13),Datos!K13/Datos!J13," - ")</f>
        <v>0.91415192507804366</v>
      </c>
      <c r="BH13" s="906">
        <f>IF(ISNUMBER(((Datos!L13/Datos!K13)*11)/factor_trimestre),((Datos!L13/Datos!K13)*11)/factor_trimestre," - ")</f>
        <v>14.305065452475811</v>
      </c>
      <c r="BI13" s="902">
        <f>IF(ISNUMBER('Resol  Asuntos'!D13/NºAsuntos!G13),'Resol  Asuntos'!D13/NºAsuntos!G13," - ")</f>
        <v>0.3605236656596173</v>
      </c>
      <c r="BJ13" s="902" t="str">
        <f>IF(ISNUMBER(Datos!CI13/Datos!CJ13),Datos!CI13/Datos!CJ13," - ")</f>
        <v xml:space="preserve"> - </v>
      </c>
      <c r="BK13" s="902">
        <f>SUBTOTAL(9,BK8:BK12)</f>
        <v>0</v>
      </c>
      <c r="BL13" s="902">
        <f>IF(ISNUMBER((I13-AB13+L13)/(F13)),(I13-AB13+L13)/(F13)," - ")</f>
        <v>-4.0404040404040407E-2</v>
      </c>
      <c r="BM13" s="907">
        <f>SUBTOTAL(9,BM9:BM12)</f>
        <v>2.008226469876603E-2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2802</v>
      </c>
      <c r="G16" s="601">
        <f>IF(ISNUMBER(IF(D_I="SI",Datos!I16,Datos!I16+Datos!AC16)),IF(D_I="SI",Datos!I16,Datos!I16+Datos!AC16)," - ")</f>
        <v>2833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1862</v>
      </c>
      <c r="AC16" s="229">
        <f>IF(ISNUMBER(Datos!Q16),Datos!Q16," - ")</f>
        <v>100</v>
      </c>
      <c r="AD16" s="337"/>
      <c r="AE16" s="487"/>
      <c r="AF16" s="599">
        <f>IF(ISNUMBER(IF(D_I="SI",Datos!L16,Datos!L16+Datos!AF16)),IF(D_I="SI",Datos!L16,Datos!L16+Datos!AF16)," - ")</f>
        <v>2979</v>
      </c>
      <c r="AG16" s="337"/>
      <c r="AH16" s="337"/>
      <c r="AI16" s="337"/>
      <c r="AJ16" s="337"/>
      <c r="AK16" s="337"/>
      <c r="AL16" s="482"/>
      <c r="AM16" s="338">
        <f>IF(ISNUMBER(Datos!R16),Datos!R16," - ")</f>
        <v>356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316</v>
      </c>
      <c r="BD16" s="232">
        <f>IF(ISNUMBER(Datos!N16),Datos!N16," - ")</f>
        <v>1016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0.91319274153997054</v>
      </c>
      <c r="BH16" s="263">
        <f>IF(ISNUMBER(((IF(D_I="SI",Datos!L16/Datos!K16,(Datos!L16+Datos!AF16)/(Datos!K16+Datos!AE16)))*11)/factor_trimestre),((IF(D_I="SI",Datos!L16/Datos!K16,(Datos!L16+Datos!AF16)/(Datos!K16+Datos!AE16)))*11)/factor_trimestre," - ")</f>
        <v>4.79967776584318</v>
      </c>
      <c r="BI16" s="246">
        <f>IF(ISNUMBER('Resol  Asuntos'!D16/NºAsuntos!G16),'Resol  Asuntos'!D16/NºAsuntos!G16," - ")</f>
        <v>0.16970998925886144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207</v>
      </c>
      <c r="AC17" s="229">
        <f>IF(ISNUMBER(Datos!Q17),Datos!Q17," - ")</f>
        <v>0</v>
      </c>
      <c r="AD17" s="337"/>
      <c r="AE17" s="487"/>
      <c r="AF17" s="335">
        <f>IF(ISNUMBER(Datos!L17),Datos!L17,"-")</f>
        <v>251</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30</v>
      </c>
      <c r="BD17" s="232">
        <f>IF(ISNUMBER(Datos!N17),Datos!N17," - ")</f>
        <v>122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1.2699386503067485</v>
      </c>
      <c r="BH17" s="263">
        <f>IF(ISNUMBER(((IF(D_I="SI",Datos!L17/Datos!K17,(Datos!L17+Datos!AF17)/(Datos!K17+Datos!AE17)))*11)/factor_trimestre),((IF(D_I="SI",Datos!L17/Datos!K17,(Datos!L17+Datos!AF17)/(Datos!K17+Datos!AE17)))*11)/factor_trimestre," - ")</f>
        <v>3.63768115942029</v>
      </c>
      <c r="BI17" s="246">
        <f>IF(ISNUMBER('Resol  Asuntos'!D17/NºAsuntos!G17),'Resol  Asuntos'!D17/NºAsuntos!G17," - ")</f>
        <v>0.14492753623188406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2802</v>
      </c>
      <c r="G18" s="901">
        <f>SUBTOTAL(9,G15:G17)</f>
        <v>3128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2069</v>
      </c>
      <c r="AC18" s="902">
        <f t="shared" si="4"/>
        <v>100</v>
      </c>
      <c r="AD18" s="902">
        <f t="shared" si="4"/>
        <v>0</v>
      </c>
      <c r="AE18" s="902">
        <f t="shared" si="4"/>
        <v>0</v>
      </c>
      <c r="AF18" s="902">
        <f t="shared" si="4"/>
        <v>3230</v>
      </c>
      <c r="AG18" s="902">
        <f t="shared" si="4"/>
        <v>0</v>
      </c>
      <c r="AH18" s="902">
        <f t="shared" si="4"/>
        <v>0</v>
      </c>
      <c r="AI18" s="902">
        <f t="shared" si="4"/>
        <v>0</v>
      </c>
      <c r="AJ18" s="902">
        <f t="shared" si="4"/>
        <v>0</v>
      </c>
      <c r="AK18" s="902">
        <f t="shared" si="4"/>
        <v>0</v>
      </c>
      <c r="AL18" s="902">
        <f t="shared" si="4"/>
        <v>0</v>
      </c>
      <c r="AM18" s="902">
        <f t="shared" si="4"/>
        <v>368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346</v>
      </c>
      <c r="BD18" s="902">
        <f t="shared" si="4"/>
        <v>1138</v>
      </c>
      <c r="BE18" s="902">
        <f t="shared" si="4"/>
        <v>0</v>
      </c>
      <c r="BF18" s="902">
        <f t="shared" si="4"/>
        <v>0</v>
      </c>
      <c r="BG18" s="902">
        <f>IF(ISNUMBER(Datos!K18/Datos!J18),Datos!K18/Datos!J18," - ")</f>
        <v>0.93960036330608543</v>
      </c>
      <c r="BH18" s="906">
        <f>IF(ISNUMBER(((Datos!L18/Datos!K18)*11)/factor_trimestre),((Datos!L18/Datos!K18)*11)/factor_trimestre," - ")</f>
        <v>4.6834219429676169</v>
      </c>
      <c r="BI18" s="902">
        <f>SUBTOTAL(9,BI15:BI17)</f>
        <v>0.31463752549074553</v>
      </c>
      <c r="BJ18" s="902">
        <f>SUBTOTAL(9,BJ15:BJ17)</f>
        <v>0</v>
      </c>
      <c r="BK18" s="902">
        <f>SUBTOTAL(9,BK15:BK17)</f>
        <v>0</v>
      </c>
      <c r="BL18" s="902">
        <f>IF(ISNUMBER((I18-AB18+L18)/(F18)),(I18-AB18+L18)/(F18)," - ")</f>
        <v>-0.73840114204139895</v>
      </c>
      <c r="BM18" s="908">
        <f>IF(ISNUMBER((Datos!P18-Datos!Q18)/(Datos!R18-Datos!P18+Datos!Q18)),(Datos!P18-Datos!Q18)/(Datos!R18-Datos!P18+Datos!Q18)," - ")</f>
        <v>0.13580246913580246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2901</v>
      </c>
      <c r="G19" s="823">
        <f t="shared" si="6"/>
        <v>3227</v>
      </c>
      <c r="H19" s="825">
        <f t="shared" si="6"/>
        <v>0</v>
      </c>
      <c r="I19" s="823">
        <f t="shared" si="6"/>
        <v>0</v>
      </c>
      <c r="J19" s="825">
        <f t="shared" si="6"/>
        <v>0</v>
      </c>
      <c r="K19" s="825">
        <f t="shared" si="6"/>
        <v>0</v>
      </c>
      <c r="L19" s="884">
        <f t="shared" si="6"/>
        <v>0</v>
      </c>
      <c r="M19" s="884">
        <f t="shared" si="6"/>
        <v>0</v>
      </c>
      <c r="N19" s="884">
        <f t="shared" si="6"/>
        <v>225</v>
      </c>
      <c r="O19" s="884">
        <f t="shared" si="6"/>
        <v>0</v>
      </c>
      <c r="P19" s="884">
        <f t="shared" si="6"/>
        <v>0</v>
      </c>
      <c r="Q19" s="825">
        <f t="shared" si="6"/>
        <v>540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2073</v>
      </c>
      <c r="AC19" s="824">
        <f t="shared" si="7"/>
        <v>330</v>
      </c>
      <c r="AD19" s="824">
        <f t="shared" si="7"/>
        <v>0</v>
      </c>
      <c r="AE19" s="824">
        <f t="shared" si="7"/>
        <v>0</v>
      </c>
      <c r="AF19" s="831">
        <f t="shared" si="7"/>
        <v>3332</v>
      </c>
      <c r="AG19" s="831">
        <f t="shared" si="7"/>
        <v>0</v>
      </c>
      <c r="AH19" s="831">
        <f t="shared" si="7"/>
        <v>191</v>
      </c>
      <c r="AI19" s="831">
        <f t="shared" si="7"/>
        <v>0</v>
      </c>
      <c r="AJ19" s="824">
        <f t="shared" si="7"/>
        <v>0</v>
      </c>
      <c r="AK19" s="831">
        <f t="shared" si="7"/>
        <v>0</v>
      </c>
      <c r="AL19" s="831">
        <f t="shared" si="7"/>
        <v>0</v>
      </c>
      <c r="AM19" s="831">
        <f t="shared" si="7"/>
        <v>8838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1062</v>
      </c>
      <c r="BD19" s="823">
        <f t="shared" si="7"/>
        <v>1791</v>
      </c>
      <c r="BE19" s="823">
        <f t="shared" si="7"/>
        <v>0</v>
      </c>
      <c r="BF19" s="833">
        <f t="shared" si="7"/>
        <v>0</v>
      </c>
      <c r="BG19" s="918">
        <f>IF(ISNUMBER(Datos!K19/Datos!J19),Datos!K19/Datos!J19," - ")</f>
        <v>0.92774005819592631</v>
      </c>
      <c r="BH19" s="918">
        <f>IF(ISNUMBER(((Datos!L19/Datos!K19)*11)/factor_trimestre),((Datos!L19/Datos!K19)*11)/factor_trimestre," - ")</f>
        <v>9.1019341348667009</v>
      </c>
      <c r="BI19" s="816">
        <f>IF(ISNUMBER(Datos!J19/Datos!I19),Datos!J19/Datos!I19," - ")</f>
        <v>0.36363636363636365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-0.71458117890382622</v>
      </c>
      <c r="BM19" s="892">
        <f>IF(ISNUMBER((Datos!P19-Datos!Q19+R19)/(Datos!R19-Datos!P19+Datos!Q19-R19)),(Datos!P19-Datos!Q19+R19)/(Datos!R19-Datos!P19+Datos!Q19-R19)," - ")</f>
        <v>2.4339360222531293E-2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1290.8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1560.5777776195584</v>
      </c>
      <c r="G21" s="555">
        <f>IF(ISNUMBER(STDEV(G8:G18)),STDEV(G8:G18),"-")</f>
        <v>1548.0695074834334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1043.1709831087135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312.47143869480294</v>
      </c>
      <c r="BD21" s="554"/>
      <c r="BE21" s="554">
        <f>IF(ISNUMBER(STDEV(BE8:BE18)),STDEV(BE8:BE18),"-")</f>
        <v>0</v>
      </c>
      <c r="BF21" s="559">
        <f>IF(ISNUMBER(STDEV(BF8:BF18)),STDEV(BF8:BF18),"-")</f>
        <v>0</v>
      </c>
      <c r="BG21" s="778">
        <f>IF(ISNUMBER(STDEV(BG8:BG18)),STDEV(BG8:BG18),"-")</f>
        <v>0.22110039005465704</v>
      </c>
      <c r="BH21" s="779">
        <f>IF(ISNUMBER(STDEV(BH8:BH18)),STDEV(BH8:BH18),"-")</f>
        <v>28.312180427028093</v>
      </c>
      <c r="BI21" s="252">
        <f>IF(ISNUMBER(STDEV(BI8:BI18)),STDEV(BI8:BI18),"-")</f>
        <v>0.10622959771798962</v>
      </c>
      <c r="BJ21" s="233" t="str">
        <f>IF(ISNUMBER(BL21/BM21),BL21/BM21," - ")</f>
        <v xml:space="preserve"> - </v>
      </c>
      <c r="BK21" s="578"/>
      <c r="BL21" s="562">
        <f>IF(ISNUMBER(STDEV(BL8:BL18)),STDEV(BL8:BL18),"-")</f>
        <v>0.49355848381633211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LXktT48VvdChP48xB8Zj3aZ6RbXhmmgl5tcZgAtLsvyLY97740q0pYzVNWKzXnywQ+mi3IILwOWXF48AFEXXw==" saltValue="+NJVyTH04e+TWXdlVfQG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CIUDAD REAL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99</v>
      </c>
      <c r="G10" s="228">
        <f>IF(ISNUMBER(Datos!I10),Datos!I10," - ")</f>
        <v>99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102</v>
      </c>
      <c r="AB10" s="337"/>
      <c r="AC10" s="337"/>
      <c r="AD10" s="487"/>
      <c r="AE10" s="487">
        <f>IF(ISNUMBER(Datos!R10),Datos!R10," - ")</f>
        <v>38</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396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230</v>
      </c>
      <c r="AA12" s="335" t="str">
        <f>IF(ISNUMBER(IF(J_V="SI",Datos!L12,Datos!L12+Datos!AB12)-IF(Monitorios="SI",Datos!CD12,0)),
                          IF(J_V="SI",Datos!L12,Datos!L12+Datos!AB12)-IF(Monitorios="SI",Datos!CD12,0),
                          " - ")</f>
        <v xml:space="preserve"> - </v>
      </c>
      <c r="AB12" s="337"/>
      <c r="AC12" s="337"/>
      <c r="AD12" s="487"/>
      <c r="AE12" s="487">
        <f>IF(ISNUMBER(Datos!R12),Datos!R12," - ")</f>
        <v>8432</v>
      </c>
      <c r="AF12" s="232" t="str">
        <f>IF(ISNUMBER(Datos!BV12),Datos!BV12," - ")</f>
        <v xml:space="preserve"> - </v>
      </c>
      <c r="AG12" s="228" t="str">
        <f>IF(ISNUMBER(Datos!DV12),Datos!DV12," - ")</f>
        <v xml:space="preserve"> - </v>
      </c>
      <c r="AH12" s="301"/>
      <c r="AI12" s="230"/>
      <c r="AJ12" s="228">
        <f>IF(ISNUMBER(Datos!M12),Datos!M12," - ")</f>
        <v>712</v>
      </c>
      <c r="AK12" s="232">
        <f>IF(ISNUMBER(Datos!N12),Datos!N12," - ")</f>
        <v>653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12.815842583249244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2.008226469876603E-2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99</v>
      </c>
      <c r="G13" s="901">
        <f>SUBTOTAL(9,G8:G12)</f>
        <v>99</v>
      </c>
      <c r="H13" s="911"/>
      <c r="I13" s="901">
        <f t="shared" ref="I13:N13" si="0">SUBTOTAL(9,I8:I12)</f>
        <v>0</v>
      </c>
      <c r="J13" s="870">
        <f t="shared" si="0"/>
        <v>0</v>
      </c>
      <c r="K13" s="911">
        <f t="shared" si="0"/>
        <v>0</v>
      </c>
      <c r="L13" s="911">
        <f t="shared" si="0"/>
        <v>0</v>
      </c>
      <c r="M13" s="911">
        <f t="shared" si="0"/>
        <v>0</v>
      </c>
      <c r="N13" s="911">
        <f t="shared" si="0"/>
        <v>396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230</v>
      </c>
      <c r="AA13" s="903">
        <f t="shared" si="2"/>
        <v>102</v>
      </c>
      <c r="AB13" s="903">
        <f t="shared" si="2"/>
        <v>0</v>
      </c>
      <c r="AC13" s="903">
        <f t="shared" si="2"/>
        <v>0</v>
      </c>
      <c r="AD13" s="903">
        <f t="shared" si="2"/>
        <v>0</v>
      </c>
      <c r="AE13" s="903">
        <f t="shared" si="2"/>
        <v>8470</v>
      </c>
      <c r="AF13" s="911">
        <f t="shared" si="2"/>
        <v>0</v>
      </c>
      <c r="AG13" s="911">
        <f t="shared" si="2"/>
        <v>0</v>
      </c>
      <c r="AH13" s="911">
        <f t="shared" si="2"/>
        <v>0</v>
      </c>
      <c r="AI13" s="911">
        <f t="shared" si="2"/>
        <v>0</v>
      </c>
      <c r="AJ13" s="911">
        <f t="shared" si="2"/>
        <v>716</v>
      </c>
      <c r="AK13" s="911">
        <f t="shared" si="2"/>
        <v>653</v>
      </c>
      <c r="AL13" s="911">
        <f t="shared" si="2"/>
        <v>0</v>
      </c>
      <c r="AM13" s="911">
        <f t="shared" si="2"/>
        <v>0</v>
      </c>
      <c r="AN13" s="911">
        <f t="shared" si="2"/>
        <v>0</v>
      </c>
      <c r="AO13" s="907">
        <f>IF(ISNUMBER(((NºAsuntos!I13/NºAsuntos!G13)*11)/factor_trimestre),((NºAsuntos!I13/NºAsuntos!G13)*11)/factor_trimestre," - ")</f>
        <v>12.944108761329305</v>
      </c>
      <c r="AP13" s="913" t="str">
        <f>IF(ISNUMBER(Datos!CI13/Datos!CJ13),Datos!CI13/Datos!CJ13," - ")</f>
        <v xml:space="preserve"> - </v>
      </c>
      <c r="AQ13" s="931">
        <f t="shared" ref="AQ13:AV13" si="3">SUBTOTAL(9,AQ9:AQ12)</f>
        <v>0</v>
      </c>
      <c r="AR13" s="931">
        <f t="shared" si="3"/>
        <v>2.008226469876603E-2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2802</v>
      </c>
      <c r="G16" s="228">
        <f>IF(ISNUMBER(IF(D_I="SI",Datos!I16,Datos!I16+Datos!AC16)),IF(D_I="SI",Datos!I16,Datos!I16+Datos!AC16)," - ")</f>
        <v>2833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1862</v>
      </c>
      <c r="Z16" s="622">
        <f>IF(ISNUMBER(Datos!Q16),Datos!Q16," - ")</f>
        <v>100</v>
      </c>
      <c r="AA16" s="335">
        <f>IF(ISNUMBER(IF(D_I="SI",Datos!L16,Datos!L16+Datos!AF16)),IF(D_I="SI",Datos!L16,Datos!L16+Datos!AF16)," - ")</f>
        <v>2979</v>
      </c>
      <c r="AB16" s="337"/>
      <c r="AC16" s="337"/>
      <c r="AD16" s="487"/>
      <c r="AE16" s="487">
        <f>IF(ISNUMBER(Datos!R16),Datos!R16," - ")</f>
        <v>356</v>
      </c>
      <c r="AF16" s="232" t="str">
        <f>IF(ISNUMBER(Datos!BV16),Datos!BV16," - ")</f>
        <v xml:space="preserve"> - </v>
      </c>
      <c r="AG16" s="228"/>
      <c r="AH16" s="301"/>
      <c r="AI16" s="230"/>
      <c r="AJ16" s="228">
        <f>IF(ISNUMBER(Datos!M16),Datos!M16," - ")</f>
        <v>316</v>
      </c>
      <c r="AK16" s="232">
        <f>IF(ISNUMBER(Datos!N16),Datos!N16," - ")</f>
        <v>1016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4.79967776584318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207</v>
      </c>
      <c r="Z17" s="622">
        <f>IF(ISNUMBER(Datos!Q17),Datos!Q17," - ")</f>
        <v>0</v>
      </c>
      <c r="AA17" s="335">
        <f>IF(ISNUMBER(Datos!L17),Datos!L17,"-")</f>
        <v>251</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30</v>
      </c>
      <c r="AK17" s="232">
        <f>IF(ISNUMBER(Datos!N17),Datos!N17," - ")</f>
        <v>122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3.63768115942029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2802</v>
      </c>
      <c r="G18" s="901">
        <f>SUBTOTAL(9,G15:G17)</f>
        <v>3128</v>
      </c>
      <c r="H18" s="935">
        <f>SUBTOTAL(9,H15:H17)</f>
        <v>0</v>
      </c>
      <c r="I18" s="914">
        <f>SUBTOTAL(9,I15:I17)</f>
        <v>0</v>
      </c>
      <c r="J18" s="870">
        <f>SUBTOTAL(9,J14:J17)</f>
        <v>0</v>
      </c>
      <c r="K18" s="935">
        <f t="shared" ref="K18:S18" si="4">SUBTOTAL(9,K15:K17)</f>
        <v>0</v>
      </c>
      <c r="L18" s="935">
        <f t="shared" si="4"/>
        <v>0</v>
      </c>
      <c r="M18" s="935">
        <f t="shared" si="4"/>
        <v>0</v>
      </c>
      <c r="N18" s="935">
        <f t="shared" si="4"/>
        <v>144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2069</v>
      </c>
      <c r="Z18" s="935">
        <f t="shared" si="5"/>
        <v>100</v>
      </c>
      <c r="AA18" s="935">
        <f t="shared" si="5"/>
        <v>3230</v>
      </c>
      <c r="AB18" s="935">
        <f t="shared" si="5"/>
        <v>0</v>
      </c>
      <c r="AC18" s="935">
        <f t="shared" si="5"/>
        <v>0</v>
      </c>
      <c r="AD18" s="935">
        <f t="shared" si="5"/>
        <v>0</v>
      </c>
      <c r="AE18" s="935">
        <f t="shared" si="5"/>
        <v>368</v>
      </c>
      <c r="AF18" s="935">
        <f t="shared" si="5"/>
        <v>0</v>
      </c>
      <c r="AG18" s="935">
        <f t="shared" si="5"/>
        <v>0</v>
      </c>
      <c r="AH18" s="935">
        <f t="shared" si="5"/>
        <v>0</v>
      </c>
      <c r="AI18" s="935">
        <f t="shared" si="5"/>
        <v>0</v>
      </c>
      <c r="AJ18" s="935">
        <f t="shared" si="5"/>
        <v>346</v>
      </c>
      <c r="AK18" s="935">
        <f t="shared" si="5"/>
        <v>1138</v>
      </c>
      <c r="AL18" s="935">
        <f t="shared" si="5"/>
        <v>0</v>
      </c>
      <c r="AM18" s="935">
        <f t="shared" si="5"/>
        <v>0</v>
      </c>
      <c r="AN18" s="935">
        <f t="shared" si="5"/>
        <v>0</v>
      </c>
      <c r="AO18" s="937">
        <f>IF(ISNUMBER(((NºAsuntos!I18/NºAsuntos!G18)*11)/factor_trimestre),((NºAsuntos!I18/NºAsuntos!G18)*11)/factor_trimestre," - ")</f>
        <v>4.6834219429676169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2901</v>
      </c>
      <c r="G19" s="823">
        <f t="shared" si="7"/>
        <v>3227</v>
      </c>
      <c r="H19" s="824">
        <f t="shared" si="7"/>
        <v>0</v>
      </c>
      <c r="I19" s="823">
        <f t="shared" si="7"/>
        <v>0</v>
      </c>
      <c r="J19" s="825">
        <f t="shared" si="7"/>
        <v>0</v>
      </c>
      <c r="K19" s="823">
        <f t="shared" si="7"/>
        <v>0</v>
      </c>
      <c r="L19" s="826">
        <f t="shared" si="7"/>
        <v>0</v>
      </c>
      <c r="M19" s="823">
        <f t="shared" si="7"/>
        <v>0</v>
      </c>
      <c r="N19" s="824">
        <f t="shared" si="7"/>
        <v>540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2073</v>
      </c>
      <c r="Z19" s="830">
        <f t="shared" si="8"/>
        <v>330</v>
      </c>
      <c r="AA19" s="831">
        <f t="shared" si="8"/>
        <v>3332</v>
      </c>
      <c r="AB19" s="831">
        <f t="shared" si="8"/>
        <v>0</v>
      </c>
      <c r="AC19" s="831">
        <f t="shared" si="8"/>
        <v>0</v>
      </c>
      <c r="AD19" s="832">
        <f t="shared" si="8"/>
        <v>0</v>
      </c>
      <c r="AE19" s="832">
        <f t="shared" si="8"/>
        <v>8838</v>
      </c>
      <c r="AF19" s="833">
        <f t="shared" si="8"/>
        <v>0</v>
      </c>
      <c r="AG19" s="834">
        <f t="shared" si="8"/>
        <v>0</v>
      </c>
      <c r="AH19" s="835">
        <f t="shared" si="8"/>
        <v>0</v>
      </c>
      <c r="AI19" s="833">
        <f t="shared" si="8"/>
        <v>0</v>
      </c>
      <c r="AJ19" s="823">
        <f t="shared" si="8"/>
        <v>1062</v>
      </c>
      <c r="AK19" s="823">
        <f t="shared" si="8"/>
        <v>1791</v>
      </c>
      <c r="AL19" s="823">
        <f t="shared" si="8"/>
        <v>0</v>
      </c>
      <c r="AM19" s="836">
        <f t="shared" si="8"/>
        <v>0</v>
      </c>
      <c r="AN19" s="826">
        <f>IF(ISNUMBER(Datos!K19/Datos!J19),Datos!K19/Datos!J19," - ")</f>
        <v>0.92774005819592631</v>
      </c>
      <c r="AO19" s="826">
        <f>IF(ISNUMBER(FIND("06",Criterios!A8,1)),(IF(ISNUMBER(((Datos!R19/Datos!Q19)*11)/factor_trimestre),((Datos!R19/Datos!Q19)*11)/factor_trimestre," - ")),(IF(ISNUMBER(((Datos!L19/Datos!K19)*11)/factor_trimestre),((Datos!L19/Datos!K19)*11)/factor_trimestre," - ")))</f>
        <v>9.1019341348667009</v>
      </c>
      <c r="AP19" s="837" t="str">
        <f>IF(ISNUMBER(Datos!CI19/Datos!CJ19),Datos!CI19/Datos!CJ19," - ")</f>
        <v xml:space="preserve"> - </v>
      </c>
      <c r="AQ19" s="837">
        <f>IF(OR(ISNUMBER(FIND("01",Criterios!A8,1)),ISNUMBER(FIND("02",Criterios!A8,1)),ISNUMBER(FIND("03",Criterios!A8,1)),ISNUMBER(FIND("04",Criterios!A8,1))),(J19-Y19+K19)/(F19-K19),(I19-Y19+K19)/(F19-K19))</f>
        <v>-0.71458117890382622</v>
      </c>
      <c r="AR19" s="837">
        <f>IF(ISNUMBER((Datos!P19-Datos!Q19+O19)/(Datos!R19-Datos!P19+Datos!Q19-O19)),(Datos!P19-Datos!Q19+O19)/(Datos!R19-Datos!P19+Datos!Q19-O19)," - ")</f>
        <v>2.4339360222531293E-2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1290.8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1560.5777776195584</v>
      </c>
      <c r="G21" s="555">
        <f>IF(ISNUMBER(STDEV(G8:G18)),STDEV(G8:G18),"-")</f>
        <v>1548.0695074834334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312.47143869480294</v>
      </c>
      <c r="AK21" s="255"/>
      <c r="AL21" s="255">
        <f>IF(ISNUMBER(STDEV(AL8:AL18)),STDEV(AL8:AL18),"-")</f>
        <v>0</v>
      </c>
      <c r="AM21" s="257">
        <f>IF(ISNUMBER(STDEV(AM8:AM18)),STDEV(AM8:AM18),"-")</f>
        <v>0</v>
      </c>
      <c r="AN21" s="542">
        <f>IF(ISNUMBER(STDEV(AN8:AN18)),STDEV(AN8:AN18),"-")</f>
        <v>0</v>
      </c>
      <c r="AO21" s="543">
        <f>IF(ISNUMBER(STDEV(AO8:AO18)),STDEV(AO8:AO18),"-")</f>
        <v>28.367108713152749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AwEESUloEkHlQObK4UwR/UkoT9hYQiIIvPaAPIWrSzbIvlPjhqtL1vev/7sSdOnlCxbMkwqZRrwSJhDJktk5A==" saltValue="JgbMf6+4WoSQCBBbHXVL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UxRWOHrt1HTz1A9oWuT4B7xPY3riwaS7YTEN8D/FmW8IKvNfAiEbCmGTTToUjAMqg9J3hLD2SJZk7sKj590dg==" saltValue="O28BsBB9E8s66qFdSBMS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3lEXhCA/upFX2tsrQLJ784JE83DMJziRo47FhqCqV2kqX5+WgPXPTmcWOWR5xCe4r39RTUDierx/bij13tplg==" saltValue="NlQG3D09eR7+1BYRx7ZG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CIUDAD REAL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0.3605236656596173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0.25492872876614703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OzlhnMnmmQtkfSpLFYG+iEWuBtzrfpACcWiNd2tJluqU3/v11tdOJB70BJO2ZED7OOjzK7lBaPlJ1YfYZKYag==" saltValue="1qz5BvxFWzDp1YxlZ0hW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C06p+x6y29Kup5aWYhXp+kJ8sqp3Z9EqQZM9wgsJuPtrxjMQjMBiWVKfTYs7N5g0al0V2u0+MNSAs6n8Z6NRg==" saltValue="KAiENsTa/2lLF9lDXzJo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CIUDAD REAL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99</v>
      </c>
      <c r="D10" s="407">
        <f>IF(ISNUMBER(C10/Datos!BH10),C10/Datos!BH10," - ")</f>
        <v>99</v>
      </c>
      <c r="E10" s="406">
        <f>IF(ISNUMBER(Datos!J10),Datos!J10," - ")</f>
        <v>7</v>
      </c>
      <c r="F10" s="407">
        <f>IF(ISNUMBER(E10/B10),E10/B10," - ")</f>
        <v>7</v>
      </c>
      <c r="G10" s="406">
        <f>IF(ISNUMBER(Datos!K10),Datos!K10," - ")</f>
        <v>4</v>
      </c>
      <c r="H10" s="407">
        <f>IF(ISNUMBER(G10/B10),G10/B10," - ")</f>
        <v>4</v>
      </c>
      <c r="I10" s="406">
        <f>IF(ISNUMBER(Datos!L10),Datos!L10," - ")</f>
        <v>102</v>
      </c>
      <c r="J10" s="407">
        <f>IF(ISNUMBER(I10/B10),I10/B10," - ")</f>
        <v>102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8309</v>
      </c>
      <c r="D12" s="407">
        <f>IF(ISNUMBER(C12/Datos!BH12),C12/Datos!BH12," - ")</f>
        <v>1187</v>
      </c>
      <c r="E12" s="406">
        <f>IF(ISNUMBER(IF(J_V="SI",Datos!J12,Datos!J12+Datos!Z12)),IF(J_V="SI",Datos!J12,Datos!J12+Datos!Z12)," - ")</f>
        <v>2140</v>
      </c>
      <c r="F12" s="407">
        <f>IF(ISNUMBER(E12/B12),E12/B12," - ")</f>
        <v>305.71428571428572</v>
      </c>
      <c r="G12" s="406">
        <f>IF(ISNUMBER(IF(J_V="SI",Datos!K12,Datos!K12+Datos!AA12)),IF(J_V="SI",Datos!K12,Datos!K12+Datos!AA12)," - ")</f>
        <v>1982</v>
      </c>
      <c r="H12" s="407">
        <f>IF(ISNUMBER(G12/B12),G12/B12," - ")</f>
        <v>283.14285714285717</v>
      </c>
      <c r="I12" s="406">
        <f>IF(ISNUMBER(IF(J_V="SI",Datos!L12,Datos!L12+Datos!AB12)),IF(J_V="SI",Datos!L12,Datos!L12+Datos!AB12)," - ")</f>
        <v>8467</v>
      </c>
      <c r="J12" s="407">
        <f>IF(ISNUMBER(I12/B12),I12/B12," - ")</f>
        <v>1209.5714285714287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8408</v>
      </c>
      <c r="D13" s="853" t="str">
        <f>IF(ISNUMBER(C13/Datos!BI13),C13/Datos!BI13," - ")</f>
        <v xml:space="preserve"> - </v>
      </c>
      <c r="E13" s="852">
        <f>SUBTOTAL(9,E8:E12)</f>
        <v>2147</v>
      </c>
      <c r="F13" s="853">
        <f>IF(ISNUMBER(E13/B13),E13/B13," - ")</f>
        <v>306.71428571428572</v>
      </c>
      <c r="G13" s="852">
        <f>SUBTOTAL(9,G8:G12)</f>
        <v>1986</v>
      </c>
      <c r="H13" s="853">
        <f>IF(ISNUMBER(G13/B13),G13/B13," - ")</f>
        <v>283.71428571428572</v>
      </c>
      <c r="I13" s="852">
        <f>SUBTOTAL(9,I8:I12)</f>
        <v>8569</v>
      </c>
      <c r="J13" s="853">
        <f>IF(ISNUMBER(I13/B13),I13/B13," - ")</f>
        <v>1224.1428571428571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2833</v>
      </c>
      <c r="D16" s="407">
        <f>IF(ISNUMBER(C16/Datos!BH16),C16/Datos!BH16," - ")</f>
        <v>404.71428571428572</v>
      </c>
      <c r="E16" s="406">
        <f>IF(ISNUMBER(IF(D_I="SI",Datos!J16,Datos!J16+Datos!AD16)),IF(D_I="SI",Datos!J16,Datos!J16+Datos!AD16)," - ")</f>
        <v>2039</v>
      </c>
      <c r="F16" s="407">
        <f>IF(ISNUMBER(E16/B16),E16/B16," - ")</f>
        <v>291.28571428571428</v>
      </c>
      <c r="G16" s="406">
        <f>IF(ISNUMBER(IF(D_I="SI",Datos!K16,Datos!K16+Datos!AE16)),IF(D_I="SI",Datos!K16,Datos!K16+Datos!AE16)," - ")</f>
        <v>1862</v>
      </c>
      <c r="H16" s="407">
        <f>IF(ISNUMBER(G16/B16),G16/B16," - ")</f>
        <v>266</v>
      </c>
      <c r="I16" s="406">
        <f>IF(ISNUMBER(IF(D_I="SI",Datos!L16,Datos!L16+Datos!AF16)),IF(D_I="SI",Datos!L16,Datos!L16+Datos!AF16)," - ")</f>
        <v>2979</v>
      </c>
      <c r="J16" s="407">
        <f>IF(ISNUMBER(I16/B16),I16/B16," - ")</f>
        <v>425.57142857142856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295</v>
      </c>
      <c r="D17" s="407">
        <f>IF(ISNUMBER(C17/Datos!BH17),C17/Datos!BH17," - ")</f>
        <v>295</v>
      </c>
      <c r="E17" s="406">
        <f>IF(ISNUMBER(IF(D_I="SI",Datos!J17,Datos!J17+Datos!AD17)),IF(D_I="SI",Datos!J17,Datos!J17+Datos!AD17)," - ")</f>
        <v>163</v>
      </c>
      <c r="F17" s="407">
        <f>IF(ISNUMBER(E17/B17),E17/B17," - ")</f>
        <v>163</v>
      </c>
      <c r="G17" s="406">
        <f>IF(ISNUMBER(IF(D_I="SI",Datos!K17,Datos!K17+Datos!AE17)),IF(D_I="SI",Datos!K17,Datos!K17+Datos!AE17)," - ")</f>
        <v>207</v>
      </c>
      <c r="H17" s="407">
        <f>IF(ISNUMBER(G17/B17),G17/B17," - ")</f>
        <v>207</v>
      </c>
      <c r="I17" s="406">
        <f>IF(ISNUMBER(IF(D_I="SI",Datos!L17,Datos!L17+Datos!AF17)),IF(D_I="SI",Datos!L17,Datos!L17+Datos!AF17)," - ")</f>
        <v>251</v>
      </c>
      <c r="J17" s="407">
        <f>IF(ISNUMBER(I17/B17),I17/B17," - ")</f>
        <v>251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3128</v>
      </c>
      <c r="D18" s="853" t="str">
        <f>IF(ISNUMBER(C18/Datos!BI18),C18/Datos!BI18," - ")</f>
        <v xml:space="preserve"> - </v>
      </c>
      <c r="E18" s="852">
        <f>SUBTOTAL(9,E14:E17)</f>
        <v>2202</v>
      </c>
      <c r="F18" s="853">
        <f>IF(ISNUMBER(E18/B18),E18/B18," - ")</f>
        <v>314.57142857142856</v>
      </c>
      <c r="G18" s="852">
        <f>SUBTOTAL(9,G14:G17)</f>
        <v>2069</v>
      </c>
      <c r="H18" s="853">
        <f>IF(ISNUMBER(G18/B18),G18/B18," - ")</f>
        <v>295.57142857142856</v>
      </c>
      <c r="I18" s="852">
        <f>SUBTOTAL(9,I14:I17)</f>
        <v>3230</v>
      </c>
      <c r="J18" s="853">
        <f>IF(ISNUMBER(I18/B18),I18/B18," - ")</f>
        <v>461.42857142857144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11536</v>
      </c>
      <c r="D19" s="798" t="str">
        <f>IF(ISNUMBER(C19/Datos!BI19),C19/Datos!BI19," - ")</f>
        <v xml:space="preserve"> - </v>
      </c>
      <c r="E19" s="797">
        <f>SUBTOTAL(9,E9:E18)</f>
        <v>4349</v>
      </c>
      <c r="F19" s="798">
        <f>IF(ISNUMBER(E19/B19),E19/B19," - ")</f>
        <v>621.28571428571433</v>
      </c>
      <c r="G19" s="797">
        <f>SUBTOTAL(9,G9:G18)</f>
        <v>4055</v>
      </c>
      <c r="H19" s="798">
        <f>IF(ISNUMBER(G19/B19),G19/B19," - ")</f>
        <v>579.28571428571433</v>
      </c>
      <c r="I19" s="797">
        <f>SUBTOTAL(9,I9:I18)</f>
        <v>11799</v>
      </c>
      <c r="J19" s="798">
        <f>IF(ISNUMBER(I19/B19),I19/B19," - ")</f>
        <v>1685.5714285714287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SUdeRy/SVDGdTXjUJKUuO805GL5orInt2EJTiai4QF6qvNk+Ta5yDzriMeqgczgfN1GwHW3PoTxr1wNnsnWgQ==" saltValue="twq9D3Hj+VL3n0SyfBN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CIUDAD REAL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99</v>
      </c>
      <c r="G10" s="687">
        <f>IF(ISNUMBER(Datos!I10),Datos!I10," - ")</f>
        <v>99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102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396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8432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712</v>
      </c>
      <c r="AM12" s="693">
        <f>IF(ISNUMBER(Datos!N12+DatosP!N16),Datos!N12+DatosP!N16," - ")</f>
        <v>653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12.815842583249244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2.008226469876603E-2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99</v>
      </c>
      <c r="G13" s="941">
        <f t="shared" si="0"/>
        <v>99</v>
      </c>
      <c r="H13" s="941">
        <f t="shared" si="0"/>
        <v>0</v>
      </c>
      <c r="I13" s="943">
        <f t="shared" si="0"/>
        <v>0</v>
      </c>
      <c r="J13" s="942">
        <f t="shared" si="0"/>
        <v>0</v>
      </c>
      <c r="K13" s="942">
        <f t="shared" si="0"/>
        <v>0</v>
      </c>
      <c r="L13" s="944">
        <f t="shared" si="0"/>
        <v>0</v>
      </c>
      <c r="M13" s="944">
        <f t="shared" si="0"/>
        <v>0</v>
      </c>
      <c r="N13" s="942">
        <f t="shared" si="0"/>
        <v>396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230</v>
      </c>
      <c r="AE13" s="942">
        <f t="shared" si="1"/>
        <v>0</v>
      </c>
      <c r="AF13" s="942">
        <f t="shared" si="1"/>
        <v>102</v>
      </c>
      <c r="AG13" s="942">
        <f t="shared" si="1"/>
        <v>0</v>
      </c>
      <c r="AH13" s="942">
        <f t="shared" si="1"/>
        <v>8432</v>
      </c>
      <c r="AI13" s="942">
        <f t="shared" si="1"/>
        <v>0</v>
      </c>
      <c r="AJ13" s="942">
        <f t="shared" si="1"/>
        <v>0</v>
      </c>
      <c r="AK13" s="942">
        <f t="shared" si="1"/>
        <v>0</v>
      </c>
      <c r="AL13" s="942">
        <f t="shared" si="1"/>
        <v>716</v>
      </c>
      <c r="AM13" s="942">
        <f t="shared" si="1"/>
        <v>653</v>
      </c>
      <c r="AN13" s="942">
        <f t="shared" si="1"/>
        <v>0</v>
      </c>
      <c r="AO13" s="942">
        <f t="shared" si="1"/>
        <v>0</v>
      </c>
      <c r="AP13" s="947">
        <f>IF(ISNUMBER(((Datos!L13/Datos!K13)*11)/factor_trimestre),((Datos!L13/Datos!K13)*11)/factor_trimestre," - ")</f>
        <v>14.305065452475811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-4.0404040404040407E-2</v>
      </c>
      <c r="AU13" s="942" t="str">
        <f>IF(ISNUMBER((DatosP!#REF!-DatosP!#REF!+DatosP!#REF!)/(DatosP!#REF!+DatosP!#REF!-DatosP!#REF!-DatosP!#REF!)),(DatosP!#REF!-DatosP!#REF!+DatosP!#REF!)/(DatosP!#REF!+DatosP!#REF!-DatosP!#REF!-DatosP!#REF!)," - ")</f>
        <v xml:space="preserve"> - </v>
      </c>
      <c r="AV13" s="948">
        <f>SUBTOTAL(9,AV9:AV12)</f>
        <v>2.008226469876603E-2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4.6834219429676169</v>
      </c>
      <c r="AQ18" s="947">
        <f>IF(ISNUMBER(((Datos!M18/Datos!L18)*11)/factor_trimestre),((Datos!M18/Datos!L18)*11)/factor_trimestre," - ")</f>
        <v>0.32136222910216716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0.13580246913580246</v>
      </c>
      <c r="AW18" s="949">
        <f>IF(ISNUMBER((Datos!Q18-Datos!R18)/(Datos!S18-Datos!Q18+Datos!R18)),(Datos!Q18-Datos!R18)/(Datos!S18-Datos!Q18+Datos!R18)," - ")</f>
        <v>-8.2410824108241076E-2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99</v>
      </c>
      <c r="G19" s="954">
        <f t="shared" si="4"/>
        <v>99</v>
      </c>
      <c r="H19" s="954">
        <f t="shared" si="4"/>
        <v>0</v>
      </c>
      <c r="I19" s="955">
        <f t="shared" si="4"/>
        <v>0</v>
      </c>
      <c r="J19" s="956">
        <f t="shared" si="4"/>
        <v>0</v>
      </c>
      <c r="K19" s="956">
        <f t="shared" si="4"/>
        <v>0</v>
      </c>
      <c r="L19" s="956">
        <f t="shared" si="4"/>
        <v>0</v>
      </c>
      <c r="M19" s="956">
        <f t="shared" si="4"/>
        <v>0</v>
      </c>
      <c r="N19" s="955">
        <f t="shared" si="4"/>
        <v>396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230</v>
      </c>
      <c r="AE19" s="960">
        <f t="shared" si="5"/>
        <v>0</v>
      </c>
      <c r="AF19" s="961">
        <f t="shared" si="5"/>
        <v>102</v>
      </c>
      <c r="AG19" s="961">
        <f t="shared" si="5"/>
        <v>0</v>
      </c>
      <c r="AH19" s="961">
        <f t="shared" si="5"/>
        <v>8432</v>
      </c>
      <c r="AI19" s="961">
        <f t="shared" si="5"/>
        <v>0</v>
      </c>
      <c r="AJ19" s="962">
        <f t="shared" si="5"/>
        <v>0</v>
      </c>
      <c r="AK19" s="962">
        <f t="shared" si="5"/>
        <v>0</v>
      </c>
      <c r="AL19" s="954">
        <f t="shared" si="5"/>
        <v>716</v>
      </c>
      <c r="AM19" s="954">
        <f t="shared" si="5"/>
        <v>653</v>
      </c>
      <c r="AN19" s="954">
        <f t="shared" si="5"/>
        <v>0</v>
      </c>
      <c r="AO19" s="954">
        <f t="shared" si="5"/>
        <v>0</v>
      </c>
      <c r="AP19" s="954">
        <f>IF(ISNUMBER(((Datos!L19/Datos!K19)*11)/factor_trimestre),((Datos!L19/Datos!K19)*11)/factor_trimestre," - ")</f>
        <v>9.1019341348667009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-4.0404040404040407E-2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2.4339360222531293E-2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57.157676649772952</v>
      </c>
      <c r="G21" s="740">
        <f>IF(ISNUMBER(STDEV(G8:G18)),STDEV(G8:G18),"-")</f>
        <v>57.157676649772952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411.07987869350484</v>
      </c>
      <c r="AM21" s="739"/>
      <c r="AN21" s="739">
        <f>IF(ISNUMBER(STDEV(AN8:AN18)),STDEV(AN8:AN18),"-")</f>
        <v>0</v>
      </c>
      <c r="AO21" s="745">
        <f>IF(ISNUMBER(STDEV(AO8:AO18)),STDEV(AO8:AO18),"-")</f>
        <v>0</v>
      </c>
      <c r="AP21" s="782">
        <f>IF(ISNUMBER(STDEV(AP8:AP18)),STDEV(AP8:AP18),"-")</f>
        <v>33.219513275486769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y9LBu5YL/U8kooUh67MdFk7xyZx1UUKj1smatj9CIDTjADIWwaBm+cnWHoAA00TLrYtXvhfEs7xTyfknrcmcA==" saltValue="q2e2LKlKkNVlYdgLlApp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CIUDAD REAL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lefrZvmseitBFbCmg8UictL0PPpeqwUxSKU64xg0uZeRD0rS+o3ekoIRoJ78lJIMwqJAlQt9LQ6wkjrVL7irg==" saltValue="aYXQfS7LobP9DIOMK+IG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CIUDAD REAL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712</v>
      </c>
      <c r="E12" s="407">
        <f t="shared" si="0"/>
        <v>101.71428571428571</v>
      </c>
      <c r="F12" s="406">
        <f>IF(ISNUMBER(Datos!N12),Datos!N12," - ")</f>
        <v>653</v>
      </c>
      <c r="G12" s="407">
        <f t="shared" si="1"/>
        <v>93.285714285714292</v>
      </c>
      <c r="H12" s="406">
        <f>IF(ISNUMBER(Datos!O12),Datos!O12," - ")</f>
        <v>743</v>
      </c>
      <c r="I12" s="407">
        <f t="shared" si="2"/>
        <v>106.14285714285714</v>
      </c>
    </row>
    <row r="13" spans="1:9" ht="14.25" thickTop="1" thickBot="1">
      <c r="A13" s="851" t="str">
        <f>Datos!A13</f>
        <v>TOTAL</v>
      </c>
      <c r="B13" s="852">
        <f>Datos!AO13</f>
        <v>8</v>
      </c>
      <c r="C13" s="854">
        <f>Datos!AR13</f>
        <v>7</v>
      </c>
      <c r="D13" s="852">
        <f>SUBTOTAL(9,D9:D12)</f>
        <v>716</v>
      </c>
      <c r="E13" s="853">
        <f t="shared" si="0"/>
        <v>89.5</v>
      </c>
      <c r="F13" s="852">
        <f>SUBTOTAL(9,F9:F12)</f>
        <v>653</v>
      </c>
      <c r="G13" s="853">
        <f t="shared" si="1"/>
        <v>81.625</v>
      </c>
      <c r="H13" s="852">
        <f>SUBTOTAL(9,H9:H12)</f>
        <v>743</v>
      </c>
      <c r="I13" s="853">
        <f>IF(ISNUMBER(H13/B13),H13/B13," - ")</f>
        <v>92.875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316</v>
      </c>
      <c r="E16" s="407">
        <f t="shared" si="3"/>
        <v>45.142857142857146</v>
      </c>
      <c r="F16" s="406">
        <f>IF(ISNUMBER(Datos!N16),Datos!N16," - ")</f>
        <v>1016</v>
      </c>
      <c r="G16" s="407">
        <f t="shared" si="4"/>
        <v>145.14285714285714</v>
      </c>
      <c r="H16" s="406">
        <f>IF(ISNUMBER(Datos!O16),Datos!O16," - ")</f>
        <v>29</v>
      </c>
      <c r="I16" s="407">
        <f t="shared" si="5"/>
        <v>4.1428571428571432</v>
      </c>
    </row>
    <row r="17" spans="1:9" ht="13.5" thickBot="1">
      <c r="A17" s="405" t="str">
        <f>Datos!A17</f>
        <v>Jdos. Violencia contra la mujer</v>
      </c>
      <c r="B17" s="430">
        <f>Datos!AO17</f>
        <v>1</v>
      </c>
      <c r="C17" s="431">
        <f>Datos!AQ17</f>
        <v>0</v>
      </c>
      <c r="D17" s="406">
        <f>IF(ISNUMBER(Datos!M17),Datos!M17," - ")</f>
        <v>30</v>
      </c>
      <c r="E17" s="407">
        <f>IF(ISNUMBER(D17/B17),D17/B17," - ")</f>
        <v>30</v>
      </c>
      <c r="F17" s="406">
        <f>IF(ISNUMBER(Datos!N17),Datos!N17," - ")</f>
        <v>122</v>
      </c>
      <c r="G17" s="407">
        <f>IF(ISNUMBER(F17/B17),F17/B17," - ")</f>
        <v>122</v>
      </c>
      <c r="H17" s="406">
        <f>IF(ISNUMBER(Datos!O17),Datos!O17," - ")</f>
        <v>0</v>
      </c>
      <c r="I17" s="407">
        <f t="shared" si="5"/>
        <v>0</v>
      </c>
    </row>
    <row r="18" spans="1:9" ht="14.25" thickTop="1" thickBot="1">
      <c r="A18" s="851" t="str">
        <f>Datos!A18</f>
        <v>TOTAL</v>
      </c>
      <c r="B18" s="852">
        <f>Datos!AO18</f>
        <v>8</v>
      </c>
      <c r="C18" s="854">
        <f>Datos!AR18</f>
        <v>7</v>
      </c>
      <c r="D18" s="852">
        <f>SUBTOTAL(9,D15:D17)</f>
        <v>346</v>
      </c>
      <c r="E18" s="853">
        <f t="shared" si="3"/>
        <v>43.25</v>
      </c>
      <c r="F18" s="852">
        <f>SUBTOTAL(9,F15:F17)</f>
        <v>1138</v>
      </c>
      <c r="G18" s="853">
        <f t="shared" si="4"/>
        <v>142.25</v>
      </c>
      <c r="H18" s="852">
        <f>SUBTOTAL(9,H15:H17)</f>
        <v>29</v>
      </c>
      <c r="I18" s="853">
        <f>IF(ISNUMBER(H18/B18),H18/B18," - ")</f>
        <v>3.625</v>
      </c>
    </row>
    <row r="19" spans="1:9" ht="14.25" thickTop="1" thickBot="1">
      <c r="A19" s="796" t="str">
        <f>Datos!A19</f>
        <v>TOTAL JURISDICCIONES</v>
      </c>
      <c r="B19" s="797">
        <f>Datos!AP19</f>
        <v>7</v>
      </c>
      <c r="C19" s="797">
        <f>Datos!AR19</f>
        <v>7</v>
      </c>
      <c r="D19" s="797">
        <f>SUBTOTAL(9,D8:D18)</f>
        <v>1062</v>
      </c>
      <c r="E19" s="798">
        <f>IF(ISNUMBER(D19/B19),D19/B19," - ")</f>
        <v>151.71428571428572</v>
      </c>
      <c r="F19" s="797">
        <f>SUBTOTAL(9,F8:F18)</f>
        <v>1791</v>
      </c>
      <c r="G19" s="798">
        <f>IF(ISNUMBER(F19/B19),F19/B19," - ")</f>
        <v>255.85714285714286</v>
      </c>
      <c r="H19" s="797">
        <f>SUBTOTAL(9,H8:H18)</f>
        <v>772</v>
      </c>
      <c r="I19" s="798">
        <f>IF(ISNUMBER(H19/B19),H19/B19," - ")</f>
        <v>110.28571428571429</v>
      </c>
    </row>
    <row r="22" spans="1:9">
      <c r="A22" s="394" t="str">
        <f>Criterios!A4</f>
        <v>Fecha Informe: 07 mar. 2024</v>
      </c>
    </row>
    <row r="27" spans="1:9">
      <c r="A27" s="417"/>
    </row>
  </sheetData>
  <sheetProtection algorithmName="SHA-512" hashValue="mpwlRoq/aI+XRpmZetmmdQmHsIpJ0sbd9KyOQbkp5nQtQsiZawDVIdUUClABbYf1RfM5+to0y2MzE9boJzqtDA==" saltValue="Y4EcAskLCVn6/yniToY6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CIUDAD REAL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396</v>
      </c>
      <c r="C12" s="437">
        <f>IF(ISNUMBER(Datos!Q12),Datos!Q12," - ")</f>
        <v>230</v>
      </c>
      <c r="D12" s="411">
        <f>IF(ISNUMBER(Datos!R12),Datos!R12," - ")</f>
        <v>8432</v>
      </c>
    </row>
    <row r="13" spans="1:4" ht="14.25" thickTop="1" thickBot="1">
      <c r="A13" s="851" t="str">
        <f>Datos!A13</f>
        <v>TOTAL</v>
      </c>
      <c r="B13" s="852">
        <f>SUBTOTAL(9,B9:B12)</f>
        <v>396</v>
      </c>
      <c r="C13" s="856">
        <f>SUBTOTAL(9,C9:C12)</f>
        <v>230</v>
      </c>
      <c r="D13" s="854">
        <f>SUBTOTAL(9,D9:D12)</f>
        <v>8470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144</v>
      </c>
      <c r="C16" s="437">
        <f>IF(ISNUMBER(Datos!Q16),Datos!Q16," - ")</f>
        <v>100</v>
      </c>
      <c r="D16" s="411">
        <f>IF(ISNUMBER(Datos!R16),Datos!R16," - ")</f>
        <v>356</v>
      </c>
    </row>
    <row r="17" spans="1:4" ht="13.5" thickBot="1">
      <c r="A17" s="405" t="str">
        <f>Datos!A17</f>
        <v>Jdos. Violencia contra la mujer</v>
      </c>
      <c r="B17" s="436">
        <f>IF(ISNUMBER(Datos!P17),Datos!P17," - ")</f>
        <v>0</v>
      </c>
      <c r="C17" s="437">
        <f>IF(ISNUMBER(Datos!Q17),Datos!Q17," - ")</f>
        <v>0</v>
      </c>
      <c r="D17" s="411">
        <f>IF(ISNUMBER(Datos!R17),Datos!R17," - ")</f>
        <v>12</v>
      </c>
    </row>
    <row r="18" spans="1:4" ht="14.25" thickTop="1" thickBot="1">
      <c r="A18" s="851" t="str">
        <f>Datos!A18</f>
        <v>TOTAL</v>
      </c>
      <c r="B18" s="852">
        <f>SUBTOTAL(9,B15:B17)</f>
        <v>144</v>
      </c>
      <c r="C18" s="856">
        <f>SUBTOTAL(9,C15:C17)</f>
        <v>100</v>
      </c>
      <c r="D18" s="854">
        <f>SUBTOTAL(9,D15:D17)</f>
        <v>368</v>
      </c>
    </row>
    <row r="19" spans="1:4" ht="16.5" customHeight="1" thickTop="1" thickBot="1">
      <c r="A19" s="796" t="str">
        <f>Datos!A19</f>
        <v>TOTAL JURISDICCIONES</v>
      </c>
      <c r="B19" s="801">
        <f>SUBTOTAL(9,B8:B18)</f>
        <v>540</v>
      </c>
      <c r="C19" s="802">
        <f>SUBTOTAL(9,C8:C18)</f>
        <v>330</v>
      </c>
      <c r="D19" s="803">
        <f>SUBTOTAL(9,D8:D18)</f>
        <v>8838</v>
      </c>
    </row>
    <row r="20" spans="1:4" ht="7.5" customHeight="1"/>
    <row r="21" spans="1:4" ht="6" customHeight="1"/>
    <row r="22" spans="1:4">
      <c r="A22" s="394" t="str">
        <f>Criterios!A4</f>
        <v>Fecha Informe: 07 mar. 2024</v>
      </c>
    </row>
    <row r="27" spans="1:4">
      <c r="A27" s="417"/>
    </row>
  </sheetData>
  <sheetProtection algorithmName="SHA-512" hashValue="+5xO31ere5u4adL+191gunEkdR09KfyXz86zi71J3S44+uKQPRlPvYRDy91zK4z8Thbw5joI+J67E2JYYYLepw==" saltValue="/8YzuuzR4U4xo5lgpphs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CIUDAD REAL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-3.8834951456310676E-2</v>
      </c>
      <c r="C10" s="459">
        <f>IF(ISNUMBER((Datos!J10-Datos!T10)/Datos!T10),(Datos!J10-Datos!T10)/Datos!T10," - ")</f>
        <v>-0.53333333333333333</v>
      </c>
      <c r="D10" s="459">
        <f>IF(ISNUMBER((Datos!K10-Datos!U10)/Datos!U10),(Datos!K10-Datos!U10)/Datos!U10," - ")</f>
        <v>-0.42857142857142855</v>
      </c>
      <c r="E10" s="459">
        <f>IF(ISNUMBER((Datos!L10-Datos!V10)/Datos!V10),(Datos!L10-Datos!V10)/Datos!V10," - ")</f>
        <v>-8.1081081081081086E-2</v>
      </c>
      <c r="F10" s="459">
        <f>IF(ISNUMBER((Datos!M10-Datos!W10)/Datos!W10),(Datos!M10-Datos!W10)/Datos!W10," - ")</f>
        <v>-0.33333333333333331</v>
      </c>
      <c r="G10" s="460">
        <f>IF(ISNUMBER((Datos!N10-Datos!X10)/Datos!X10),(Datos!N10-Datos!X10)/Datos!X10," - ")</f>
        <v>-1</v>
      </c>
      <c r="H10" s="458">
        <f>IF(ISNUMBER(((NºAsuntos!G10/NºAsuntos!E10)-Datos!BD10)/Datos!BD10),((NºAsuntos!G10/NºAsuntos!E10)-Datos!BD10)/Datos!BD10," - ")</f>
        <v>0.22448979591836726</v>
      </c>
      <c r="I10" s="459">
        <f>IF(ISNUMBER(((NºAsuntos!I10/NºAsuntos!G10)-Datos!BE10)/Datos!BE10),((NºAsuntos!I10/NºAsuntos!G10)-Datos!BE10)/Datos!BE10," - ")</f>
        <v>0.608108108108108</v>
      </c>
      <c r="J10" s="464">
        <f>IF(ISNUMBER((('Resol  Asuntos'!D10/NºAsuntos!G10)-Datos!BF10)/Datos!BF10),(('Resol  Asuntos'!D10/NºAsuntos!G10)-Datos!BF10)/Datos!BF10," - ")</f>
        <v>0.16666666666666674</v>
      </c>
      <c r="K10" s="465">
        <f>IF(ISNUMBER((((NºAsuntos!C10+NºAsuntos!E10)/NºAsuntos!G10)-Datos!BG10)/Datos!BG10),(((NºAsuntos!C10+NºAsuntos!E10)/NºAsuntos!G10)-Datos!BG10)/Datos!BG10," - ")</f>
        <v>0.57203389830508466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0.12878684961282436</v>
      </c>
      <c r="C12" s="459">
        <f>IF(ISNUMBER(
   IF(J_V="SI",(Datos!J12-Datos!T12)/Datos!T12,(Datos!J12+Datos!Z12-(Datos!T12+Datos!AH12))/(Datos!T12+Datos!AH12))
     ),IF(J_V="SI",(Datos!J12-Datos!T12)/Datos!T12,(Datos!J12+Datos!Z12-(Datos!T12+Datos!AH12))/(Datos!T12+Datos!AH12))," - ")</f>
        <v>0.12988384371700107</v>
      </c>
      <c r="D12" s="459">
        <f>IF(ISNUMBER(
   IF(J_V="SI",(Datos!K12-Datos!U12)/Datos!U12,(Datos!K12+Datos!AA12-(Datos!U12+Datos!AI12))/(Datos!U12+Datos!AI12))
     ),IF(J_V="SI",(Datos!K12-Datos!U12)/Datos!U12,(Datos!K12+Datos!AA12-(Datos!U12+Datos!AI12))/(Datos!U12+Datos!AI12))," - ")</f>
        <v>0.19397590361445782</v>
      </c>
      <c r="E12" s="459">
        <f>IF(ISNUMBER(
   IF(J_V="SI",(Datos!L12-Datos!V12)/Datos!V12,(Datos!L12+Datos!AB12-(Datos!V12+Datos!AJ12))/(Datos!V12+Datos!AJ12))
     ),IF(J_V="SI",(Datos!L12-Datos!V12)/Datos!V12,(Datos!L12+Datos!AB12-(Datos!V12+Datos!AJ12))/(Datos!V12+Datos!AJ12))," - ")</f>
        <v>0.11569376729476874</v>
      </c>
      <c r="F12" s="459">
        <f>IF(ISNUMBER((Datos!M12-Datos!W12)/Datos!W12),(Datos!M12-Datos!W12)/Datos!W12," - ")</f>
        <v>0.35361216730038025</v>
      </c>
      <c r="G12" s="460">
        <f>IF(ISNUMBER((Datos!N12-Datos!X12)/Datos!X12),(Datos!N12-Datos!X12)/Datos!X12," - ")</f>
        <v>5.834683954619125E-2</v>
      </c>
      <c r="H12" s="458">
        <f>IF(ISNUMBER(((NºAsuntos!G12/NºAsuntos!E12)-Datos!BD12)/Datos!BD12),((NºAsuntos!G12/NºAsuntos!E12)-Datos!BD12)/Datos!BD12," - ")</f>
        <v>5.6724467965319179E-2</v>
      </c>
      <c r="I12" s="459">
        <f>IF(ISNUMBER(((NºAsuntos!I12/NºAsuntos!G12)-Datos!BE12)/Datos!BE12),((NºAsuntos!I12/NºAsuntos!G12)-Datos!BE12)/Datos!BE12," - ")</f>
        <v>-6.5564251408014099E-2</v>
      </c>
      <c r="J12" s="464">
        <f>IF(ISNUMBER((('Resol  Asuntos'!D12/NºAsuntos!G12)-Datos!BF12)/Datos!BF12),(('Resol  Asuntos'!D12/NºAsuntos!G12)-Datos!BF12)/Datos!BF12," - ")</f>
        <v>-3.350576583088969E-2</v>
      </c>
      <c r="K12" s="465">
        <f>IF(ISNUMBER((((NºAsuntos!C12+NºAsuntos!E12)/NºAsuntos!G12)-Datos!BG12)/Datos!BG12),(((NºAsuntos!C12+NºAsuntos!E12)/NºAsuntos!G12)-Datos!BG12)/Datos!BG12," - ")</f>
        <v>-5.4410275951963044E-2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0.12647374062165059</v>
      </c>
      <c r="C13" s="858">
        <f>IF(ISNUMBER(
   IF(J_V="SI",(Datos!J13-Datos!T13)/Datos!T13,(Datos!J13+Datos!Z13-(Datos!T13+Datos!AH13))/(Datos!T13+Datos!AH13))
     ),IF(J_V="SI",(Datos!J13-Datos!T13)/Datos!T13,(Datos!J13+Datos!Z13-(Datos!T13+Datos!AH13))/(Datos!T13+Datos!AH13))," - ")</f>
        <v>0.12467260345730749</v>
      </c>
      <c r="D13" s="858">
        <f>IF(ISNUMBER(
   IF(J_V="SI",(Datos!K13-Datos!U13)/Datos!U13,(Datos!K13+Datos!AA13-(Datos!U13+Datos!AI13))/(Datos!U13+Datos!AI13))
     ),IF(J_V="SI",(Datos!K13-Datos!U13)/Datos!U13,(Datos!K13+Datos!AA13-(Datos!U13+Datos!AI13))/(Datos!U13+Datos!AI13))," - ")</f>
        <v>0.1913617276544691</v>
      </c>
      <c r="E13" s="858">
        <f>IF(ISNUMBER(
   IF(J_V="SI",(Datos!L13-Datos!V13)/Datos!V13,(Datos!L13+Datos!AB13-(Datos!V13+Datos!AJ13))/(Datos!V13+Datos!AJ13))
     ),IF(J_V="SI",(Datos!L13-Datos!V13)/Datos!V13,(Datos!L13+Datos!AB13-(Datos!V13+Datos!AJ13))/(Datos!V13+Datos!AJ13))," - ")</f>
        <v>0.11285714285714285</v>
      </c>
      <c r="F13" s="859">
        <f>IF(ISNUMBER((Datos!M13-Datos!W13)/Datos!W13),(Datos!M13-Datos!W13)/Datos!W13," - ")</f>
        <v>0.34586466165413532</v>
      </c>
      <c r="G13" s="860">
        <f>IF(ISNUMBER((Datos!N13-Datos!X13)/Datos!X13),(Datos!N13-Datos!X13)/Datos!X13," - ")</f>
        <v>5.6634304207119741E-2</v>
      </c>
      <c r="H13" s="860">
        <f>IF(ISNUMBER(((NºAsuntos!G13/NºAsuntos!E13)-Datos!BD13)/Datos!BD13),((NºAsuntos!G13/NºAsuntos!E13)-Datos!BD13)/Datos!BD13," - ")</f>
        <v>5.929647791913438E-2</v>
      </c>
      <c r="I13" s="860">
        <f>IF(ISNUMBER(((NºAsuntos!I13/NºAsuntos!G13)-Datos!BE13)/Datos!BE13),((NºAsuntos!I13/NºAsuntos!G13)-Datos!BE13)/Datos!BE13," - ")</f>
        <v>-6.5894835275499886E-2</v>
      </c>
      <c r="J13" s="860">
        <f>IF(ISNUMBER((('Resol  Asuntos'!D13/NºAsuntos!G13)-Datos!BF13)/Datos!BF13),(('Resol  Asuntos'!D13/NºAsuntos!G13)-Datos!BF13)/Datos!BF13," - ")</f>
        <v>-3.5324316766321001E-2</v>
      </c>
      <c r="K13" s="860">
        <f>IF(ISNUMBER((((NºAsuntos!C13+NºAsuntos!E13)/NºAsuntos!G13)-Datos!BG13)/Datos!BG13),(((NºAsuntos!C13+NºAsuntos!E13)/NºAsuntos!G13)-Datos!BG13)/Datos!BG13," - ")</f>
        <v>-5.4773309679008814E-2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0.10062160062160062</v>
      </c>
      <c r="C16" s="459">
        <f>IF(ISNUMBER(
   IF(D_I="SI",(Datos!J16-Datos!T16)/Datos!T16,(Datos!J16+Datos!AD16-(Datos!T16+Datos!AL16))/(Datos!T16+Datos!AL16))
     ),IF(D_I="SI",(Datos!J16-Datos!T16)/Datos!T16,(Datos!J16+Datos!AD16-(Datos!T16+Datos!AL16))/(Datos!T16+Datos!AL16))," - ")</f>
        <v>5.1030927835051546E-2</v>
      </c>
      <c r="D16" s="459">
        <f>IF(ISNUMBER(
   IF(D_I="SI",(Datos!K16-Datos!U16)/Datos!U16,(Datos!K16+Datos!AE16-(Datos!U16+Datos!AM16))/(Datos!U16+Datos!AM16))
     ),IF(D_I="SI",(Datos!K16-Datos!U16)/Datos!U16,(Datos!K16+Datos!AE16-(Datos!U16+Datos!AM16))/(Datos!U16+Datos!AM16))," - ")</f>
        <v>3.4444444444444444E-2</v>
      </c>
      <c r="E16" s="459">
        <f>IF(ISNUMBER(
   IF(D_I="SI",(Datos!L16-Datos!V16)/Datos!V16,(Datos!L16+Datos!AF16-(Datos!V16+Datos!AN16))/(Datos!V16+Datos!AN16))
     ),IF(D_I="SI",(Datos!L16-Datos!V16)/Datos!V16,(Datos!L16+Datos!AF16-(Datos!V16+Datos!AN16))/(Datos!V16+Datos!AN16))," - ")</f>
        <v>9.8046443051971993E-2</v>
      </c>
      <c r="F16" s="459">
        <f>IF(ISNUMBER((Datos!M16-Datos!W16)/Datos!W16),(Datos!M16-Datos!W16)/Datos!W16," - ")</f>
        <v>0.17037037037037037</v>
      </c>
      <c r="G16" s="460">
        <f>IF(ISNUMBER((Datos!N16-Datos!X16)/Datos!X16),(Datos!N16-Datos!X16)/Datos!X16," - ")</f>
        <v>0.1745664739884393</v>
      </c>
      <c r="H16" s="458">
        <f>IF(ISNUMBER(((NºAsuntos!G16/NºAsuntos!E16)-Datos!BD16)/Datos!BD16),((NºAsuntos!G16/NºAsuntos!E16)-Datos!BD16)/Datos!BD16," - ")</f>
        <v>-1.5781156340254007E-2</v>
      </c>
      <c r="I16" s="459">
        <f>IF(ISNUMBER(((NºAsuntos!I16/NºAsuntos!G16)-Datos!BE16)/Datos!BE16),((NºAsuntos!I16/NºAsuntos!G16)-Datos!BE16)/Datos!BE16," - ")</f>
        <v>6.1484209180209193E-2</v>
      </c>
      <c r="J16" s="464">
        <f>IF(ISNUMBER((('Resol  Asuntos'!D16/NºAsuntos!G16)-Datos!BF16)/Datos!BF16),(('Resol  Asuntos'!D16/NºAsuntos!G16)-Datos!BF16)/Datos!BF16," - ")</f>
        <v>0.13139992839240963</v>
      </c>
      <c r="K16" s="465">
        <f>IF(ISNUMBER((((NºAsuntos!C16+NºAsuntos!E16)/NºAsuntos!G16)-Datos!BG16)/Datos!BG16),(((NºAsuntos!C16+NºAsuntos!E16)/NºAsuntos!G16)-Datos!BG16)/Datos!BG16," - ")</f>
        <v>4.337049979845501E-2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-0.28048780487804881</v>
      </c>
      <c r="C17" s="459">
        <f>IF(ISNUMBER(
   IF(D_I="SI",(Datos!J17-Datos!T17)/Datos!T17,(Datos!J17+Datos!AD17-(Datos!T17+Datos!AL17))/(Datos!T17+Datos!AL17))
     ),IF(D_I="SI",(Datos!J17-Datos!T17)/Datos!T17,(Datos!J17+Datos!AD17-(Datos!T17+Datos!AL17))/(Datos!T17+Datos!AL17))," - ")</f>
        <v>-0.13297872340425532</v>
      </c>
      <c r="D17" s="459">
        <f>IF(ISNUMBER(
   IF(D_I="SI",(Datos!K17-Datos!U17)/Datos!U17,(Datos!K17+Datos!AE17-(Datos!U17+Datos!AM17))/(Datos!U17+Datos!AM17))
     ),IF(D_I="SI",(Datos!K17-Datos!U17)/Datos!U17,(Datos!K17+Datos!AE17-(Datos!U17+Datos!AM17))/(Datos!U17+Datos!AM17))," - ")</f>
        <v>0.78448275862068961</v>
      </c>
      <c r="E17" s="459">
        <f>IF(ISNUMBER(
   IF(D_I="SI",(Datos!L17-Datos!V17)/Datos!V17,(Datos!L17+Datos!AF17-(Datos!V17+Datos!AN17))/(Datos!V17+Datos!AN17))
     ),IF(D_I="SI",(Datos!L17-Datos!V17)/Datos!V17,(Datos!L17+Datos!AF17-(Datos!V17+Datos!AN17))/(Datos!V17+Datos!AN17))," - ")</f>
        <v>-0.47925311203319504</v>
      </c>
      <c r="F17" s="459">
        <f>IF(ISNUMBER((Datos!M17-Datos!W17)/Datos!W17),(Datos!M17-Datos!W17)/Datos!W17," - ")</f>
        <v>0.42857142857142855</v>
      </c>
      <c r="G17" s="460">
        <f>IF(ISNUMBER((Datos!N17-Datos!X17)/Datos!X17),(Datos!N17-Datos!X17)/Datos!X17," - ")</f>
        <v>0.54430379746835444</v>
      </c>
      <c r="H17" s="458">
        <f>IF(ISNUMBER(((NºAsuntos!G17/NºAsuntos!E17)-Datos!BD17)/Datos!BD17),((NºAsuntos!G17/NºAsuntos!E17)-Datos!BD17)/Datos!BD17," - ")</f>
        <v>1.0581764332557648</v>
      </c>
      <c r="I17" s="459">
        <f>IF(ISNUMBER(((NºAsuntos!I17/NºAsuntos!G17)-Datos!BE17)/Datos!BE17),((NºAsuntos!I17/NºAsuntos!G17)-Datos!BE17)/Datos!BE17," - ")</f>
        <v>-0.70818048790265997</v>
      </c>
      <c r="J17" s="464">
        <f>IF(ISNUMBER((('Resol  Asuntos'!D17/NºAsuntos!G17)-Datos!BF17)/Datos!BF17),(('Resol  Asuntos'!D17/NºAsuntos!G17)-Datos!BF17)/Datos!BF17," - ")</f>
        <v>-0.19944789510006899</v>
      </c>
      <c r="K17" s="465">
        <f>IF(ISNUMBER((((NºAsuntos!C17+NºAsuntos!E17)/NºAsuntos!G17)-Datos!BG17)/Datos!BG17),(((NºAsuntos!C17+NºAsuntos!E17)/NºAsuntos!G17)-Datos!BG17)/Datos!BG17," - ")</f>
        <v>-0.57080768422923434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4.8257372654155493E-2</v>
      </c>
      <c r="C18" s="858">
        <f>IF(ISNUMBER(
   IF(Criterios!B14="SI",(Datos!J18-Datos!T18)/Datos!T18,(Datos!J18+Datos!AD18-(Datos!T18+Datos!AL18))/(Datos!T18+Datos!AL18))
     ),IF(Criterios!B14="SI",(Datos!J18-Datos!T18)/Datos!T18,(Datos!J18+Datos!AD18-(Datos!T18+Datos!AL18))/(Datos!T18+Datos!AL18))," - ")</f>
        <v>3.4774436090225562E-2</v>
      </c>
      <c r="D18" s="858">
        <f>IF(ISNUMBER(
   IF(Criterios!B14="SI",(Datos!K18-Datos!U18)/Datos!U18,(Datos!K18+Datos!AE18-(Datos!U18+Datos!AM18))/(Datos!U18+Datos!AM18))
     ),IF(Criterios!B14="SI",(Datos!K18-Datos!U18)/Datos!U18,(Datos!K18+Datos!AE18-(Datos!U18+Datos!AM18))/(Datos!U18+Datos!AM18))," - ")</f>
        <v>7.9853862212943633E-2</v>
      </c>
      <c r="E18" s="858">
        <f>IF(ISNUMBER(
   IF(Criterios!B14="SI",(Datos!L18-Datos!V18)/Datos!V18,(Datos!L18+Datos!AF18-(Datos!V18+Datos!AN18))/(Datos!V18+Datos!AN18))
     ),IF(Criterios!B14="SI",(Datos!L18-Datos!V18)/Datos!V18,(Datos!L18+Datos!AF18-(Datos!V18+Datos!AN18))/(Datos!V18+Datos!AN18))," - ")</f>
        <v>1.0954616588419406E-2</v>
      </c>
      <c r="F18" s="859">
        <f>IF(ISNUMBER((Datos!M18-Datos!W18)/Datos!W18),(Datos!M18-Datos!W18)/Datos!W18," - ")</f>
        <v>0.18900343642611683</v>
      </c>
      <c r="G18" s="860">
        <f>IF(ISNUMBER((Datos!N18-Datos!X18)/Datos!X18),(Datos!N18-Datos!X18)/Datos!X18," - ")</f>
        <v>0.20550847457627119</v>
      </c>
      <c r="H18" s="860">
        <f>IF(ISNUMBER(((NºAsuntos!G18/NºAsuntos!E18)-Datos!BD18)/Datos!BD18),((NºAsuntos!G18/NºAsuntos!E18)-Datos!BD18)/Datos!BD18," - ")</f>
        <v>4.3564495362917441E-2</v>
      </c>
      <c r="I18" s="860">
        <f>IF(ISNUMBER(((NºAsuntos!I18/NºAsuntos!G18)-Datos!BE18)/Datos!BE18),((NºAsuntos!I18/NºAsuntos!G18)-Datos!BE18)/Datos!BE18," - ")</f>
        <v>-6.3804231327495575E-2</v>
      </c>
      <c r="J18" s="860">
        <f>IF(ISNUMBER((('Resol  Asuntos'!D18/NºAsuntos!G18)-Datos!BF18)/Datos!BF18),(('Resol  Asuntos'!D18/NºAsuntos!G18)-Datos!BF18)/Datos!BF18," - ")</f>
        <v>0.10107809772471722</v>
      </c>
      <c r="K18" s="860">
        <f>IF(ISNUMBER((((NºAsuntos!C18+NºAsuntos!E18)/NºAsuntos!G18)-Datos!BG18)/Datos!BG18),(((NºAsuntos!C18+NºAsuntos!E18)/NºAsuntos!G18)-Datos!BG18)/Datos!BG18," - ")</f>
        <v>-3.4457537340470558E-2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0.10413476263399694</v>
      </c>
      <c r="C19" s="805">
        <f>IF(ISNUMBER(
   IF(J_V="SI",(Datos!J19-Datos!T19)/Datos!T19,(Datos!J19+Datos!Z19-(Datos!T19+Datos!AH19))/(Datos!T19+Datos!AH19))
     ),IF(J_V="SI",(Datos!J19-Datos!T19)/Datos!T19,(Datos!J19+Datos!Z19-(Datos!T19+Datos!AH19))/(Datos!T19+Datos!AH19))," - ")</f>
        <v>7.7285112707456027E-2</v>
      </c>
      <c r="D19" s="805">
        <f>IF(ISNUMBER(
   IF(J_V="SI",(Datos!K19-Datos!U19)/Datos!U19,(Datos!K19+Datos!AA19-(Datos!U19+Datos!AI19))/(Datos!U19+Datos!AI19))
     ),IF(J_V="SI",(Datos!K19-Datos!U19)/Datos!U19,(Datos!K19+Datos!AA19-(Datos!U19+Datos!AI19))/(Datos!U19+Datos!AI19))," - ")</f>
        <v>0.13173318448227742</v>
      </c>
      <c r="E19" s="805">
        <f>IF(ISNUMBER(
   IF(J_V="SI",(Datos!L19-Datos!V19)/Datos!V19,(Datos!L19+Datos!AB19-(Datos!V19+Datos!AJ19))/(Datos!V19+Datos!AJ19))
     ),IF(J_V="SI",(Datos!L19-Datos!V19)/Datos!V19,(Datos!L19+Datos!AB19-(Datos!V19+Datos!AJ19))/(Datos!V19+Datos!AJ19))," - ")</f>
        <v>8.2973841211564939E-2</v>
      </c>
      <c r="F19" s="806">
        <f>IF(ISNUMBER((Datos!M19-Datos!W19)/Datos!W19),(Datos!M19-Datos!W19)/Datos!W19," - ")</f>
        <v>0.29040097205346294</v>
      </c>
      <c r="G19" s="807">
        <f>IF(ISNUMBER((Datos!N19-Datos!X19)/Datos!X19),(Datos!N19-Datos!X19)/Datos!X19," - ")</f>
        <v>0.14660691421254801</v>
      </c>
      <c r="H19" s="808">
        <f>IF(ISNUMBER((Tasas!B19-Datos!BD19)/Datos!BD19),(Tasas!B19-Datos!BD19)/Datos!BD19," - ")</f>
        <v>5.0541932801782881E-2</v>
      </c>
      <c r="I19" s="809">
        <f>IF(ISNUMBER((Tasas!C19-Datos!BE19)/Datos!BE19),(Tasas!C19-Datos!BE19)/Datos!BE19," - ")</f>
        <v>-4.3083779762999583E-2</v>
      </c>
      <c r="J19" s="810">
        <f>IF(ISNUMBER((Tasas!D19-Datos!BF19)/Datos!BF19),(Tasas!D19-Datos!BF19)/Datos!BF19," - ")</f>
        <v>2.6678034789694167E-2</v>
      </c>
      <c r="K19" s="810">
        <f>IF(ISNUMBER((Tasas!E19-Datos!BG19)/Datos!BG19),(Tasas!E19-Datos!BG19)/Datos!BG19," - ")</f>
        <v>-3.0998009335734537E-2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rX4jdH0lGGhcHHSP6A4pt1XPFVXJkqpSJmBNFxQJDfD1yi/pyumHa1EBP8h2jcmhiorsFvEI9Pxm0gyUmY/pg==" saltValue="8KMY9pgawTUoAXTRn/Vv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CIUDAD REAL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0.5714285714285714</v>
      </c>
      <c r="C10" s="446">
        <f>IF(ISNUMBER(NºAsuntos!I10/NºAsuntos!G10),NºAsuntos!I10/NºAsuntos!G10," - ")</f>
        <v>25.5</v>
      </c>
      <c r="D10" s="447">
        <f>IF(ISNUMBER('Resol  Asuntos'!D10/NºAsuntos!G10),'Resol  Asuntos'!D10/NºAsuntos!G10," - ")</f>
        <v>1</v>
      </c>
      <c r="E10" s="448">
        <f>IF(ISNUMBER((NºAsuntos!C10+NºAsuntos!E10)/NºAsuntos!G10),(NºAsuntos!C10+NºAsuntos!E10)/NºAsuntos!G10," - ")</f>
        <v>26.5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0.92616822429906542</v>
      </c>
      <c r="C12" s="446">
        <f>IF(ISNUMBER(NºAsuntos!I12/NºAsuntos!G12),NºAsuntos!I12/NºAsuntos!G12," - ")</f>
        <v>4.2719475277497478</v>
      </c>
      <c r="D12" s="447">
        <f>IF(ISNUMBER('Resol  Asuntos'!D12/NºAsuntos!G12),'Resol  Asuntos'!D12/NºAsuntos!G12," - ")</f>
        <v>0.35923309788092833</v>
      </c>
      <c r="E12" s="448">
        <f>IF(ISNUMBER((NºAsuntos!C12+NºAsuntos!E12)/NºAsuntos!G12),(NºAsuntos!C12+NºAsuntos!E12)/NºAsuntos!G12," - ")</f>
        <v>5.2719475277497478</v>
      </c>
      <c r="G12" s="466"/>
    </row>
    <row r="13" spans="1:7" ht="14.25" thickTop="1" thickBot="1">
      <c r="A13" s="851" t="str">
        <f>Datos!A13</f>
        <v>TOTAL</v>
      </c>
      <c r="B13" s="861">
        <f>IF(ISNUMBER(NºAsuntos!G13/NºAsuntos!E13),NºAsuntos!G13/NºAsuntos!E13," - ")</f>
        <v>0.92501164415463433</v>
      </c>
      <c r="C13" s="862">
        <f>IF(ISNUMBER(NºAsuntos!I13/NºAsuntos!G13),NºAsuntos!I13/NºAsuntos!G13," - ")</f>
        <v>4.3147029204431018</v>
      </c>
      <c r="D13" s="863">
        <f>IF(ISNUMBER('Resol  Asuntos'!D13/NºAsuntos!G13),'Resol  Asuntos'!D13/NºAsuntos!G13," - ")</f>
        <v>0.3605236656596173</v>
      </c>
      <c r="E13" s="864">
        <f>IF(ISNUMBER((NºAsuntos!C13+NºAsuntos!E13)/NºAsuntos!G13),(NºAsuntos!C13+NºAsuntos!E13)/NºAsuntos!G13," - ")</f>
        <v>5.3147029204431018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0.91319274153997054</v>
      </c>
      <c r="C16" s="446">
        <f>IF(ISNUMBER(NºAsuntos!I16/NºAsuntos!G16),NºAsuntos!I16/NºAsuntos!G16," - ")</f>
        <v>1.5998925886143931</v>
      </c>
      <c r="D16" s="447">
        <f>IF(ISNUMBER('Resol  Asuntos'!D16/NºAsuntos!G16),'Resol  Asuntos'!D16/NºAsuntos!G16," - ")</f>
        <v>0.16970998925886144</v>
      </c>
      <c r="E16" s="448">
        <f>IF(ISNUMBER((NºAsuntos!C16+NºAsuntos!E16)/NºAsuntos!G16),(NºAsuntos!C16+NºAsuntos!E16)/NºAsuntos!G16," - ")</f>
        <v>2.6165413533834587</v>
      </c>
      <c r="G16" s="466"/>
    </row>
    <row r="17" spans="1:7" ht="13.5" thickBot="1">
      <c r="A17" s="405" t="str">
        <f>Datos!A17</f>
        <v>Jdos. Violencia contra la mujer</v>
      </c>
      <c r="B17" s="445">
        <f>IF(ISNUMBER(NºAsuntos!G17/NºAsuntos!E17),NºAsuntos!G17/NºAsuntos!E17," - ")</f>
        <v>1.2699386503067485</v>
      </c>
      <c r="C17" s="446">
        <f>IF(ISNUMBER(NºAsuntos!I17/NºAsuntos!G17),NºAsuntos!I17/NºAsuntos!G17," - ")</f>
        <v>1.21256038647343</v>
      </c>
      <c r="D17" s="447">
        <f>IF(ISNUMBER('Resol  Asuntos'!D17/NºAsuntos!G17),'Resol  Asuntos'!D17/NºAsuntos!G17," - ")</f>
        <v>0.14492753623188406</v>
      </c>
      <c r="E17" s="448">
        <f>IF(ISNUMBER((NºAsuntos!C17+NºAsuntos!E17)/NºAsuntos!G17),(NºAsuntos!C17+NºAsuntos!E17)/NºAsuntos!G17," - ")</f>
        <v>2.21256038647343</v>
      </c>
      <c r="G17" s="466"/>
    </row>
    <row r="18" spans="1:7" ht="14.25" thickTop="1" thickBot="1">
      <c r="A18" s="851" t="str">
        <f>Datos!A18</f>
        <v>TOTAL</v>
      </c>
      <c r="B18" s="861">
        <f>IF(ISNUMBER(NºAsuntos!G18/NºAsuntos!E18),NºAsuntos!G18/NºAsuntos!E18," - ")</f>
        <v>0.93960036330608543</v>
      </c>
      <c r="C18" s="862">
        <f>IF(ISNUMBER(NºAsuntos!I18/NºAsuntos!G18),NºAsuntos!I18/NºAsuntos!G18," - ")</f>
        <v>1.5611406476558725</v>
      </c>
      <c r="D18" s="865">
        <f>IF(ISNUMBER('Resol  Asuntos'!D18/NºAsuntos!G18),'Resol  Asuntos'!D18/NºAsuntos!G18," - ")</f>
        <v>0.16723054615756405</v>
      </c>
      <c r="E18" s="864">
        <f>IF(ISNUMBER((NºAsuntos!C18+NºAsuntos!E18)/NºAsuntos!G18),(NºAsuntos!C18+NºAsuntos!E18)/NºAsuntos!G18," - ")</f>
        <v>2.5761237312711454</v>
      </c>
      <c r="G18" s="466"/>
    </row>
    <row r="19" spans="1:7" ht="15.75" customHeight="1" thickTop="1" thickBot="1">
      <c r="A19" s="796" t="str">
        <f>Datos!A19</f>
        <v>TOTAL JURISDICCIONES</v>
      </c>
      <c r="B19" s="811">
        <f>IF(ISNUMBER(NºAsuntos!G19/NºAsuntos!E19),NºAsuntos!G19/NºAsuntos!E19," - ")</f>
        <v>0.93239825247183261</v>
      </c>
      <c r="C19" s="812">
        <f>IF(ISNUMBER(NºAsuntos!I19/NºAsuntos!G19),NºAsuntos!I19/NºAsuntos!G19," - ")</f>
        <v>2.9097410604192353</v>
      </c>
      <c r="D19" s="813">
        <f>IF(ISNUMBER('Resol  Asuntos'!D19/NºAsuntos!G19),'Resol  Asuntos'!D19/NºAsuntos!G19," - ")</f>
        <v>0.26189889025893959</v>
      </c>
      <c r="E19" s="814">
        <f>IF(ISNUMBER((NºAsuntos!C19+NºAsuntos!E19)/NºAsuntos!G19),(NºAsuntos!C19+NºAsuntos!E19)/NºAsuntos!G19," - ")</f>
        <v>3.9173859432799012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gMLhluGNJvvItLEl4w4atZ0PGZI+fk0FrulbA9BL43ZKvf7zt01XQihcvRFVaRAyFp1a/tVdUtwnpv7MXhxXw==" saltValue="kC6pmuI4CUZXwYTFoxva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CIUDAD REAL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99</v>
      </c>
      <c r="G10" s="336">
        <f>IF(ISNUMBER(Datos!I10),Datos!I10," - ")</f>
        <v>99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102</v>
      </c>
      <c r="AB10" s="337">
        <f>IF(ISNUMBER(Datos!R10),Datos!R10," - ")</f>
        <v>38</v>
      </c>
      <c r="AC10" s="337">
        <f t="shared" ref="AC10:AC12" si="1">IF(ISNUMBER(AA10+AB10),AA10+AB10," - ")</f>
        <v>140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0.5714285714285714</v>
      </c>
      <c r="AM10" s="263">
        <f>IF(ISNUMBER(((NºAsuntos!I10/NºAsuntos!G10)*11)/factor_trimestre),((NºAsuntos!I10/NºAsuntos!G10)*11)/factor_trimestre," - ")</f>
        <v>76.5</v>
      </c>
      <c r="AN10" s="247">
        <f>IF(ISNUMBER('Resol  Asuntos'!D10/NºAsuntos!G10),'Resol  Asuntos'!D10/NºAsuntos!G10," - ")</f>
        <v>1</v>
      </c>
      <c r="AO10" s="248">
        <f>IF(ISNUMBER((NºAsuntos!C10+NºAsuntos!E10)/NºAsuntos!G10),(NºAsuntos!C10+NºAsuntos!E10)/NºAsuntos!G10," - ")</f>
        <v>26.5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396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230</v>
      </c>
      <c r="Y12" s="337">
        <f t="shared" si="0"/>
        <v>230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8432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712</v>
      </c>
      <c r="AJ12" s="232" t="str">
        <f>IF(ISNUMBER(Datos!BW12),Datos!BW12," - ")</f>
        <v xml:space="preserve"> - </v>
      </c>
      <c r="AK12" s="231" t="str">
        <f>IF(ISNUMBER(Datos!BX12),Datos!BX12," - ")</f>
        <v xml:space="preserve"> - </v>
      </c>
      <c r="AL12" s="246">
        <f>IF(ISNUMBER(NºAsuntos!G12/NºAsuntos!E12),NºAsuntos!G12/NºAsuntos!E12," - ")</f>
        <v>0.92616822429906542</v>
      </c>
      <c r="AM12" s="263">
        <f>IF(ISNUMBER(((NºAsuntos!I12/NºAsuntos!G12)*11)/factor_trimestre),((NºAsuntos!I12/NºAsuntos!G12)*11)/factor_trimestre," - ")</f>
        <v>12.815842583249244</v>
      </c>
      <c r="AN12" s="247">
        <f>IF(ISNUMBER('Resol  Asuntos'!D12/NºAsuntos!G12),'Resol  Asuntos'!D12/NºAsuntos!G12," - ")</f>
        <v>0.35923309788092833</v>
      </c>
      <c r="AO12" s="248">
        <f>IF(ISNUMBER((NºAsuntos!C12+NºAsuntos!E12)/NºAsuntos!G12),(NºAsuntos!C12+NºAsuntos!E12)/NºAsuntos!G12," - ")</f>
        <v>5.2719475277497478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99</v>
      </c>
      <c r="G13" s="869">
        <f t="shared" si="3"/>
        <v>99</v>
      </c>
      <c r="H13" s="868">
        <f t="shared" si="3"/>
        <v>0</v>
      </c>
      <c r="I13" s="870">
        <f t="shared" si="3"/>
        <v>0</v>
      </c>
      <c r="J13" s="870">
        <f t="shared" si="3"/>
        <v>0</v>
      </c>
      <c r="K13" s="870">
        <f t="shared" si="3"/>
        <v>0</v>
      </c>
      <c r="L13" s="870">
        <f t="shared" si="3"/>
        <v>396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230</v>
      </c>
      <c r="Y13" s="871">
        <f t="shared" si="4"/>
        <v>234</v>
      </c>
      <c r="Z13" s="871">
        <f t="shared" si="4"/>
        <v>0</v>
      </c>
      <c r="AA13" s="871">
        <f t="shared" si="4"/>
        <v>102</v>
      </c>
      <c r="AB13" s="871">
        <f t="shared" si="4"/>
        <v>8470</v>
      </c>
      <c r="AC13" s="871">
        <f t="shared" si="4"/>
        <v>140</v>
      </c>
      <c r="AD13" s="871">
        <f t="shared" si="4"/>
        <v>0</v>
      </c>
      <c r="AE13" s="875">
        <f t="shared" si="4"/>
        <v>0</v>
      </c>
      <c r="AF13" s="868">
        <f t="shared" si="4"/>
        <v>0</v>
      </c>
      <c r="AG13" s="876">
        <f t="shared" si="4"/>
        <v>0</v>
      </c>
      <c r="AH13" s="873">
        <f t="shared" si="4"/>
        <v>0</v>
      </c>
      <c r="AI13" s="868">
        <f t="shared" si="4"/>
        <v>716</v>
      </c>
      <c r="AJ13" s="870">
        <f t="shared" si="4"/>
        <v>0</v>
      </c>
      <c r="AK13" s="873">
        <f>SUBTOTAL(9,AK9:AK12)</f>
        <v>0</v>
      </c>
      <c r="AL13" s="877">
        <f>IF(ISNUMBER(NºAsuntos!G13/NºAsuntos!E13),NºAsuntos!G13/NºAsuntos!E13," - ")</f>
        <v>0.92501164415463433</v>
      </c>
      <c r="AM13" s="877">
        <f>IF(ISNUMBER(((NºAsuntos!I13/NºAsuntos!G13)*11)/factor_trimestre),((NºAsuntos!I13/NºAsuntos!G13)*11)/factor_trimestre," - ")</f>
        <v>12.944108761329305</v>
      </c>
      <c r="AN13" s="878">
        <f>IF(ISNUMBER('Resol  Asuntos'!D13/NºAsuntos!G13),'Resol  Asuntos'!D13/NºAsuntos!G13," - ")</f>
        <v>0.3605236656596173</v>
      </c>
      <c r="AO13" s="879">
        <f>IF(ISNUMBER((NºAsuntos!C13+NºAsuntos!E13)/NºAsuntos!G13),(NºAsuntos!C13+NºAsuntos!E13)/NºAsuntos!G13," - ")</f>
        <v>5.3147029204431018</v>
      </c>
      <c r="AP13" s="880" t="str">
        <f t="shared" si="2"/>
        <v xml:space="preserve"> - </v>
      </c>
      <c r="AQ13" s="880">
        <f>IF(ISNUMBER((H13-W13+K13)/(F13)),(H13-W13+K13)/(F13)," - ")</f>
        <v>-4.0404040404040407E-2</v>
      </c>
      <c r="AR13" s="881">
        <f>IF(ISNUMBER((Datos!P13-Datos!Q13)/(Datos!R13-Datos!P13+Datos!Q13)),(Datos!P13-Datos!Q13)/(Datos!R13-Datos!P13+Datos!Q13)," - ")</f>
        <v>1.9990366088631986E-2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2802</v>
      </c>
      <c r="G16" s="336">
        <f>IF(ISNUMBER(IF(D_I="SI",Datos!I16,Datos!I16+Datos!AC16)),IF(D_I="SI",Datos!I16,Datos!I16+Datos!AC16)," - ")</f>
        <v>2833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1862</v>
      </c>
      <c r="X16" s="229">
        <f>IF(ISNUMBER(Datos!Q16),Datos!Q16," - ")</f>
        <v>100</v>
      </c>
      <c r="Y16" s="337">
        <f t="shared" ref="Y16:Y17" si="7">SUM(W16:X16)</f>
        <v>1962</v>
      </c>
      <c r="Z16" s="338" t="str">
        <f>IF(ISNUMBER(Datos!CC16),Datos!CC16," - ")</f>
        <v xml:space="preserve"> - </v>
      </c>
      <c r="AA16" s="335">
        <f>IF(ISNUMBER(IF(D_I="SI",Datos!L16,Datos!L16+Datos!AF16)),IF(D_I="SI",Datos!L16,Datos!L16+Datos!AF16)," - ")</f>
        <v>2979</v>
      </c>
      <c r="AB16" s="337">
        <f>IF(ISNUMBER(Datos!R16),Datos!R16," - ")</f>
        <v>356</v>
      </c>
      <c r="AC16" s="337">
        <f t="shared" si="6"/>
        <v>3335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316</v>
      </c>
      <c r="AJ16" s="234" t="str">
        <f>IF(ISNUMBER(Datos!BW16),Datos!BW16," - ")</f>
        <v xml:space="preserve"> - </v>
      </c>
      <c r="AK16" s="235" t="str">
        <f>IF(ISNUMBER(Datos!BX16),Datos!BX16," - ")</f>
        <v xml:space="preserve"> - </v>
      </c>
      <c r="AL16" s="246">
        <f>IF(ISNUMBER(NºAsuntos!G16/NºAsuntos!E16),NºAsuntos!G16/NºAsuntos!E16," - ")</f>
        <v>0.91319274153997054</v>
      </c>
      <c r="AM16" s="263">
        <f>IF(ISNUMBER(((NºAsuntos!I16/NºAsuntos!G16)*11)/factor_trimestre),((NºAsuntos!I16/NºAsuntos!G16)*11)/factor_trimestre," - ")</f>
        <v>4.79967776584318</v>
      </c>
      <c r="AN16" s="247">
        <f>IF(ISNUMBER('Resol  Asuntos'!D16/NºAsuntos!G16),'Resol  Asuntos'!D16/NºAsuntos!G16," - ")</f>
        <v>0.16970998925886144</v>
      </c>
      <c r="AO16" s="248">
        <f>IF(ISNUMBER((NºAsuntos!C16+NºAsuntos!E16)/NºAsuntos!G16),(NºAsuntos!C16+NºAsuntos!E16)/NºAsuntos!G16," - ")</f>
        <v>2.6165413533834587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207</v>
      </c>
      <c r="X17" s="229">
        <f>IF(ISNUMBER(Datos!Q17),Datos!Q17," - ")</f>
        <v>0</v>
      </c>
      <c r="Y17" s="337">
        <f t="shared" si="7"/>
        <v>207</v>
      </c>
      <c r="Z17" s="338" t="str">
        <f>IF(ISNUMBER(Datos!CC17),Datos!CC17," - ")</f>
        <v xml:space="preserve"> - </v>
      </c>
      <c r="AA17" s="335">
        <f>IF(ISNUMBER(Datos!L17),Datos!L17,"-")</f>
        <v>251</v>
      </c>
      <c r="AB17" s="337">
        <f>IF(ISNUMBER(Datos!R17),Datos!R17," - ")</f>
        <v>12</v>
      </c>
      <c r="AC17" s="337">
        <f t="shared" si="6"/>
        <v>263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30</v>
      </c>
      <c r="AJ17" s="234" t="str">
        <f>IF(ISNUMBER(Datos!BW17),Datos!BW17," - ")</f>
        <v xml:space="preserve"> - </v>
      </c>
      <c r="AK17" s="235" t="str">
        <f>IF(ISNUMBER(Datos!BX17),Datos!BX17," - ")</f>
        <v xml:space="preserve"> - </v>
      </c>
      <c r="AL17" s="246">
        <f>IF(ISNUMBER(NºAsuntos!G17/NºAsuntos!E17),NºAsuntos!G17/NºAsuntos!E17," - ")</f>
        <v>1.2699386503067485</v>
      </c>
      <c r="AM17" s="263">
        <f>IF(ISNUMBER(((NºAsuntos!I17/NºAsuntos!G17)*11)/factor_trimestre),((NºAsuntos!I17/NºAsuntos!G17)*11)/factor_trimestre," - ")</f>
        <v>3.63768115942029</v>
      </c>
      <c r="AN17" s="247">
        <f>IF(ISNUMBER('Resol  Asuntos'!D17/NºAsuntos!G17),'Resol  Asuntos'!D17/NºAsuntos!G17," - ")</f>
        <v>0.14492753623188406</v>
      </c>
      <c r="AO17" s="248">
        <f>IF(ISNUMBER((NºAsuntos!C17+NºAsuntos!E17)/NºAsuntos!G17),(NºAsuntos!C17+NºAsuntos!E17)/NºAsuntos!G17," - ")</f>
        <v>2.21256038647343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2802</v>
      </c>
      <c r="G18" s="869">
        <f>SUBTOTAL(9,G15:G17)</f>
        <v>3128</v>
      </c>
      <c r="H18" s="868">
        <f t="shared" ref="H18:O18" si="10">SUBTOTAL(9,H14:H17)</f>
        <v>0</v>
      </c>
      <c r="I18" s="870">
        <f t="shared" si="10"/>
        <v>0</v>
      </c>
      <c r="J18" s="870">
        <f t="shared" si="10"/>
        <v>0</v>
      </c>
      <c r="K18" s="870">
        <f t="shared" si="10"/>
        <v>0</v>
      </c>
      <c r="L18" s="870">
        <f t="shared" si="10"/>
        <v>144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2069</v>
      </c>
      <c r="X18" s="870">
        <f t="shared" si="11"/>
        <v>100</v>
      </c>
      <c r="Y18" s="871">
        <f t="shared" si="11"/>
        <v>2169</v>
      </c>
      <c r="Z18" s="871">
        <f t="shared" si="11"/>
        <v>0</v>
      </c>
      <c r="AA18" s="871">
        <f t="shared" si="11"/>
        <v>3230</v>
      </c>
      <c r="AB18" s="871">
        <f t="shared" si="11"/>
        <v>368</v>
      </c>
      <c r="AC18" s="871">
        <f t="shared" si="11"/>
        <v>3598</v>
      </c>
      <c r="AD18" s="871">
        <f t="shared" si="11"/>
        <v>0</v>
      </c>
      <c r="AE18" s="875">
        <f t="shared" si="11"/>
        <v>0</v>
      </c>
      <c r="AF18" s="868">
        <f t="shared" si="11"/>
        <v>0</v>
      </c>
      <c r="AG18" s="876">
        <f t="shared" si="11"/>
        <v>0</v>
      </c>
      <c r="AH18" s="873">
        <f t="shared" si="11"/>
        <v>0</v>
      </c>
      <c r="AI18" s="868">
        <f t="shared" si="11"/>
        <v>346</v>
      </c>
      <c r="AJ18" s="870">
        <f t="shared" si="11"/>
        <v>0</v>
      </c>
      <c r="AK18" s="873">
        <f t="shared" si="11"/>
        <v>0</v>
      </c>
      <c r="AL18" s="877">
        <f>IF(ISNUMBER(NºAsuntos!G18/NºAsuntos!E18),NºAsuntos!G18/NºAsuntos!E18," - ")</f>
        <v>0.93960036330608543</v>
      </c>
      <c r="AM18" s="877">
        <f>IF(ISNUMBER(((NºAsuntos!I18/NºAsuntos!G18)*11)/factor_trimestre),((NºAsuntos!I18/NºAsuntos!G18)*11)/factor_trimestre," - ")</f>
        <v>4.6834219429676169</v>
      </c>
      <c r="AN18" s="878">
        <f>IF(ISNUMBER('Resol  Asuntos'!D18/NºAsuntos!G18),'Resol  Asuntos'!D18/NºAsuntos!G18," - ")</f>
        <v>0.16723054615756405</v>
      </c>
      <c r="AO18" s="879">
        <f>IF(ISNUMBER((NºAsuntos!C18+NºAsuntos!E18)/NºAsuntos!G18),(NºAsuntos!C18+NºAsuntos!E18)/NºAsuntos!G18," - ")</f>
        <v>2.5761237312711454</v>
      </c>
      <c r="AP18" s="880" t="str">
        <f t="shared" si="2"/>
        <v xml:space="preserve"> - </v>
      </c>
      <c r="AQ18" s="880">
        <f>IF(ISNUMBER((H18-W18+K18)/(F18)),(H18-W18+K18)/(F18)," - ")</f>
        <v>-0.73840114204139895</v>
      </c>
      <c r="AR18" s="881">
        <f>IF(ISNUMBER((Datos!P18-Datos!Q18)/(Datos!R18-Datos!P18+Datos!Q18)),(Datos!P18-Datos!Q18)/(Datos!R18-Datos!P18+Datos!Q18)," - ")</f>
        <v>0.13580246913580246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2901</v>
      </c>
      <c r="G19" s="824">
        <f t="shared" si="13"/>
        <v>3227</v>
      </c>
      <c r="H19" s="823">
        <f t="shared" si="13"/>
        <v>0</v>
      </c>
      <c r="I19" s="825">
        <f t="shared" si="13"/>
        <v>0</v>
      </c>
      <c r="J19" s="825">
        <f t="shared" si="13"/>
        <v>0</v>
      </c>
      <c r="K19" s="884">
        <f t="shared" si="13"/>
        <v>0</v>
      </c>
      <c r="L19" s="825">
        <f t="shared" si="13"/>
        <v>540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2073</v>
      </c>
      <c r="X19" s="824">
        <f t="shared" si="14"/>
        <v>330</v>
      </c>
      <c r="Y19" s="831">
        <f t="shared" si="14"/>
        <v>2403</v>
      </c>
      <c r="Z19" s="831">
        <f t="shared" si="14"/>
        <v>0</v>
      </c>
      <c r="AA19" s="831">
        <f t="shared" si="14"/>
        <v>3332</v>
      </c>
      <c r="AB19" s="831">
        <f t="shared" si="14"/>
        <v>8838</v>
      </c>
      <c r="AC19" s="831">
        <f t="shared" si="14"/>
        <v>3738</v>
      </c>
      <c r="AD19" s="831">
        <f t="shared" si="14"/>
        <v>0</v>
      </c>
      <c r="AE19" s="833">
        <f t="shared" si="14"/>
        <v>0</v>
      </c>
      <c r="AF19" s="834">
        <f t="shared" si="14"/>
        <v>0</v>
      </c>
      <c r="AG19" s="835">
        <f t="shared" si="14"/>
        <v>0</v>
      </c>
      <c r="AH19" s="833">
        <f t="shared" si="14"/>
        <v>0</v>
      </c>
      <c r="AI19" s="823">
        <f t="shared" si="14"/>
        <v>1062</v>
      </c>
      <c r="AJ19" s="823">
        <f t="shared" si="14"/>
        <v>0</v>
      </c>
      <c r="AK19" s="833">
        <f t="shared" si="14"/>
        <v>0</v>
      </c>
      <c r="AL19" s="887">
        <f>IF(ISNUMBER(NºAsuntos!G19/NºAsuntos!E19),NºAsuntos!G19/NºAsuntos!E19," - ")</f>
        <v>0.93239825247183261</v>
      </c>
      <c r="AM19" s="888">
        <f>IF(ISNUMBER(((NºAsuntos!I19/NºAsuntos!G19)*11)/factor_trimestre),((NºAsuntos!I19/NºAsuntos!G19)*11)/factor_trimestre," - ")</f>
        <v>8.7292231812577068</v>
      </c>
      <c r="AN19" s="888">
        <f>IF(ISNUMBER('Resol  Asuntos'!D19/NºAsuntos!G19),'Resol  Asuntos'!D19/NºAsuntos!G19," - ")</f>
        <v>0.26189889025893959</v>
      </c>
      <c r="AO19" s="889">
        <f>IF(ISNUMBER((NºAsuntos!C19+NºAsuntos!E19)/NºAsuntos!G19),(NºAsuntos!C19+NºAsuntos!E19)/NºAsuntos!G19," - ")</f>
        <v>3.9173859432799012</v>
      </c>
      <c r="AP19" s="890" t="str">
        <f t="shared" si="2"/>
        <v xml:space="preserve"> - </v>
      </c>
      <c r="AQ19" s="891">
        <f>IF(OR(ISNUMBER(FIND("01",Criterios!A8,1)),ISNUMBER(FIND("02",Criterios!A8,1)),ISNUMBER(FIND("03",Criterios!A8,1)),ISNUMBER(FIND("04",Criterios!A8,1))),(I19-W19+K19)/(F19-K19),(H19-W19+K19)/(F19-K19))</f>
        <v>-0.71458117890382622</v>
      </c>
      <c r="AR19" s="892">
        <f>IF(ISNUMBER((Datos!P19-Datos!Q19)/(Datos!R19-Datos!P19+Datos!Q19)),(Datos!P19-Datos!Q19)/(Datos!R19-Datos!P19+Datos!Q19)," - ")</f>
        <v>2.4339360222531293E-2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1290.8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1560.5777776195584</v>
      </c>
      <c r="G21" s="256">
        <f>IF(ISNUMBER(STDEV(G8:G18)),STDEV(G8:G18),"-")</f>
        <v>1548.0695074834334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1043.1709831087135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312.47143869480294</v>
      </c>
      <c r="AJ21" s="255">
        <f t="shared" si="18"/>
        <v>0</v>
      </c>
      <c r="AK21" s="257">
        <f t="shared" si="18"/>
        <v>0</v>
      </c>
      <c r="AL21" s="252">
        <f t="shared" si="18"/>
        <v>0.22106368107781749</v>
      </c>
      <c r="AM21" s="253">
        <f t="shared" si="18"/>
        <v>28.367108713152749</v>
      </c>
      <c r="AN21" s="253">
        <f t="shared" si="18"/>
        <v>0.32525024409143632</v>
      </c>
      <c r="AO21" s="254">
        <f t="shared" si="18"/>
        <v>9.4524753688591812</v>
      </c>
      <c r="AP21" s="294" t="str">
        <f t="shared" si="18"/>
        <v>-</v>
      </c>
      <c r="AQ21" s="295">
        <f t="shared" si="18"/>
        <v>0.49355848381633211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R38GMWjv+pjXOns3w32491BAb/texSDiqlSGY06UP34lOChuuitTBKoIpazLmGVrmVCQpV5CfXDH2oDjcE8Xg==" saltValue="7Q3GC8wbH9/zL0xgP/eJ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CIUDAD REAL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-3.8834951456310676E-2</v>
      </c>
      <c r="E10" s="351">
        <f>IF(ISNUMBER((Datos!J10-Datos!T10)/Datos!T10),(Datos!J10-Datos!T10)/Datos!T10," - ")</f>
        <v>-0.53333333333333333</v>
      </c>
      <c r="F10" s="351">
        <f>IF(ISNUMBER((Datos!K10-Datos!U10)/Datos!U10),(Datos!K10-Datos!U10)/Datos!U10," - ")</f>
        <v>-0.42857142857142855</v>
      </c>
      <c r="G10" s="352">
        <f>IF(ISNUMBER((Datos!L10-Datos!V10)/Datos!V10),(Datos!L10-Datos!V10)/Datos!V10," - ")</f>
        <v>-8.1081081081081086E-2</v>
      </c>
      <c r="H10" s="233">
        <f>IF(ISNUMBER((Datos!M10-Datos!W10)/Datos!W10),(Datos!M10-Datos!W10)/Datos!W10," - ")</f>
        <v>-0.33333333333333331</v>
      </c>
      <c r="I10" s="353">
        <f>IF(ISNUMBER((Tasas!C10-Datos!BE10)/Datos!BE10),(Tasas!C10-Datos!BE10)/Datos!BE10," - ")</f>
        <v>0.608108108108108</v>
      </c>
      <c r="J10" s="352">
        <f>IF(ISNUMBER((Tasas!D10-Datos!BF10)/Datos!BF10),(Tasas!D10-Datos!BF10)/Datos!BF10," - ")</f>
        <v>0.16666666666666674</v>
      </c>
      <c r="K10" s="354">
        <f>IF(ISNUMBER((Tasas!E10-Datos!BG10)/Datos!BG10),(Tasas!E10-Datos!BG10)/Datos!BG10," - ")</f>
        <v>0.57203389830508466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0.35361216730038025</v>
      </c>
      <c r="I12" s="353">
        <f>IF(ISNUMBER((Tasas!C12-Datos!BE12)/Datos!BE12),(Tasas!C12-Datos!BE12)/Datos!BE12," - ")</f>
        <v>-6.5564251408014099E-2</v>
      </c>
      <c r="J12" s="352">
        <f>IF(ISNUMBER((Tasas!D12-Datos!BF12)/Datos!BF12),(Tasas!D12-Datos!BF12)/Datos!BF12," - ")</f>
        <v>-3.350576583088969E-2</v>
      </c>
      <c r="K12" s="354">
        <f>IF(ISNUMBER((Tasas!E12-Datos!BG12)/Datos!BG12),(Tasas!E12-Datos!BG12)/Datos!BG12," - ")</f>
        <v>-5.4410275951963044E-2</v>
      </c>
      <c r="M12" t="e">
        <f>IF(Monitorios="SI",Datos!CE12,0)</f>
        <v>#REF!</v>
      </c>
      <c r="N12" t="e">
        <f>IF(Monitorios="SI",Datos!CF12,0)</f>
        <v>#REF!</v>
      </c>
      <c r="O12" t="e">
        <f>IF(Monitorios="SI",Datos!CG12,0)</f>
        <v>#REF!</v>
      </c>
      <c r="P12" t="e">
        <f>IF(Monitorios="SI",Datos!CH12,0)</f>
        <v>#REF!</v>
      </c>
      <c r="Q12">
        <f>IF(J_V="SI",0,Datos!AG12)</f>
        <v>206</v>
      </c>
      <c r="R12">
        <f>IF(J_V="SI",0,Datos!AH12)</f>
        <v>226</v>
      </c>
      <c r="S12">
        <f>IF(J_V="SI",0,Datos!AI12)</f>
        <v>218</v>
      </c>
      <c r="T12">
        <f>IF(J_V="SI",0,Datos!AJ12)</f>
        <v>214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0.34586466165413532</v>
      </c>
      <c r="I13" s="360">
        <f>IF(ISNUMBER((Tasas!C13-Datos!BE13)/Datos!BE13),(Tasas!C13-Datos!BE13)/Datos!BE13," - ")</f>
        <v>-6.5894835275499886E-2</v>
      </c>
      <c r="J13" s="358">
        <f>IF(ISNUMBER((Tasas!D13-Datos!BF13)/Datos!BF13),(Tasas!D13-Datos!BF13)/Datos!BF13," - ")</f>
        <v>-3.5324316766321001E-2</v>
      </c>
      <c r="K13" s="361">
        <f>IF(ISNUMBER((Tasas!E13-Datos!BG13)/Datos!BG13),(Tasas!E13-Datos!BG13)/Datos!BG13," - ")</f>
        <v>-5.4773309679008814E-2</v>
      </c>
      <c r="M13" t="e">
        <f>IF(Monitorios="SI",Datos!CE13,0)</f>
        <v>#REF!</v>
      </c>
      <c r="N13" t="e">
        <f>IF(Monitorios="SI",Datos!CF13,0)</f>
        <v>#REF!</v>
      </c>
      <c r="O13" t="e">
        <f>IF(Monitorios="SI",Datos!CG13,0)</f>
        <v>#REF!</v>
      </c>
      <c r="P13" t="e">
        <f>IF(Monitorios="SI",Datos!CH13,0)</f>
        <v>#REF!</v>
      </c>
      <c r="Q13">
        <f>IF(J_V="SI",0,Datos!AG13)</f>
        <v>206</v>
      </c>
      <c r="R13">
        <f>IF(J_V="SI",0,Datos!AH13)</f>
        <v>226</v>
      </c>
      <c r="S13">
        <f>IF(J_V="SI",0,Datos!AI13)</f>
        <v>218</v>
      </c>
      <c r="T13">
        <f>IF(J_V="SI",0,Datos!AJ13)</f>
        <v>214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0.10062160062160062</v>
      </c>
      <c r="E16" s="351">
        <f>IF(ISNUMBER(
   IF(D_I="SI",(Datos!J16-Datos!T16)/Datos!T16,(Datos!J16+Datos!AD16-(Datos!T16+Datos!AL16))/(Datos!T16+Datos!AL16))
     ),IF(D_I="SI",(Datos!J16-Datos!T16)/Datos!T16,(Datos!J16+Datos!AD16-(Datos!T16+Datos!AL16))/(Datos!T16+Datos!AL16))," - ")</f>
        <v>5.1030927835051546E-2</v>
      </c>
      <c r="F16" s="351">
        <f>IF(ISNUMBER(
   IF(D_I="SI",(Datos!K16-Datos!U16)/Datos!U16,(Datos!K16+Datos!AE16-(Datos!U16+Datos!AM16))/(Datos!U16+Datos!AM16))
     ),IF(D_I="SI",(Datos!K16-Datos!U16)/Datos!U16,(Datos!K16+Datos!AE16-(Datos!U16+Datos!AM16))/(Datos!U16+Datos!AM16))," - ")</f>
        <v>3.4444444444444444E-2</v>
      </c>
      <c r="G16" s="352">
        <f>IF(ISNUMBER(
   IF(D_I="SI",(Datos!L16-Datos!V16)/Datos!V16,(Datos!L16+Datos!AF16-(Datos!V16+Datos!AN16))/(Datos!V16+Datos!AN16))
     ),IF(D_I="SI",(Datos!L16-Datos!V16)/Datos!V16,(Datos!L16+Datos!AF16-(Datos!V16+Datos!AN16))/(Datos!V16+Datos!AN16))," - ")</f>
        <v>9.8046443051971993E-2</v>
      </c>
      <c r="H16" s="233">
        <f>IF(ISNUMBER((Datos!M16-Datos!W16)/Datos!W16),(Datos!M16-Datos!W16)/Datos!W16," - ")</f>
        <v>0.17037037037037037</v>
      </c>
      <c r="I16" s="353">
        <f>IF(ISNUMBER((Tasas!C16-Datos!BE16)/Datos!BE16),(Tasas!C16-Datos!BE16)/Datos!BE16," - ")</f>
        <v>6.1484209180209193E-2</v>
      </c>
      <c r="J16" s="352">
        <f>IF(ISNUMBER((Tasas!D16-Datos!BF16)/Datos!BF16),(Tasas!D16-Datos!BF16)/Datos!BF16," - ")</f>
        <v>0.13139992839240963</v>
      </c>
      <c r="K16" s="354">
        <f>IF(ISNUMBER((Tasas!E16-Datos!BG16)/Datos!BG16),(Tasas!E16-Datos!BG16)/Datos!BG16," - ")</f>
        <v>4.337049979845501E-2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-0.28048780487804881</v>
      </c>
      <c r="E17" s="351">
        <f>IF(ISNUMBER(
   IF(D_I="SI",(Datos!J17-Datos!T17)/Datos!T17,(Datos!J17+Datos!AD17-(Datos!T17+Datos!AL17))/(Datos!T17+Datos!AL17))
     ),IF(D_I="SI",(Datos!J17-Datos!T17)/Datos!T17,(Datos!J17+Datos!AD17-(Datos!T17+Datos!AL17))/(Datos!T17+Datos!AL17))," - ")</f>
        <v>-0.13297872340425532</v>
      </c>
      <c r="F17" s="351">
        <f>IF(ISNUMBER(
   IF(D_I="SI",(Datos!K17-Datos!U17)/Datos!U17,(Datos!K17+Datos!AE17-(Datos!U17+Datos!AM17))/(Datos!U17+Datos!AM17))
     ),IF(D_I="SI",(Datos!K17-Datos!U17)/Datos!U17,(Datos!K17+Datos!AE17-(Datos!U17+Datos!AM17))/(Datos!U17+Datos!AM17))," - ")</f>
        <v>0.78448275862068961</v>
      </c>
      <c r="G17" s="352">
        <f>IF(ISNUMBER(
   IF(D_I="SI",(Datos!L17-Datos!V17)/Datos!V17,(Datos!L17+Datos!AF17-(Datos!V17+Datos!AN17))/(Datos!V17+Datos!AN17))
     ),IF(D_I="SI",(Datos!L17-Datos!V17)/Datos!V17,(Datos!L17+Datos!AF17-(Datos!V17+Datos!AN17))/(Datos!V17+Datos!AN17))," - ")</f>
        <v>-0.47925311203319504</v>
      </c>
      <c r="H17" s="233">
        <f>IF(ISNUMBER((Datos!M17-Datos!W17)/Datos!W17),(Datos!M17-Datos!W17)/Datos!W17," - ")</f>
        <v>0.42857142857142855</v>
      </c>
      <c r="I17" s="353">
        <f>IF(ISNUMBER((Tasas!C17-Datos!BE17)/Datos!BE17),(Tasas!C17-Datos!BE17)/Datos!BE17," - ")</f>
        <v>-0.70818048790265997</v>
      </c>
      <c r="J17" s="352">
        <f>IF(ISNUMBER((Tasas!D17-Datos!BF17)/Datos!BF17),(Tasas!D17-Datos!BF17)/Datos!BF17," - ")</f>
        <v>-0.19944789510006899</v>
      </c>
      <c r="K17" s="354">
        <f>IF(ISNUMBER((Tasas!E17-Datos!BG17)/Datos!BG17),(Tasas!E17-Datos!BG17)/Datos!BG17," - ")</f>
        <v>-0.57080768422923434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4.8257372654155493E-2</v>
      </c>
      <c r="E18" s="357">
        <f>IF(ISNUMBER(
   IF(D_I="SI",(Datos!J18-Datos!T18)/Datos!T18,(Datos!J18+Datos!AD18-(Datos!T18+Datos!AL18))/(Datos!T18+Datos!AL18))
     ),IF(D_I="SI",(Datos!J18-Datos!T18)/Datos!T18,(Datos!J18+Datos!AD18-(Datos!T18+Datos!AL18))/(Datos!T18+Datos!AL18))," - ")</f>
        <v>3.4774436090225562E-2</v>
      </c>
      <c r="F18" s="357">
        <f>IF(ISNUMBER(
   IF(D_I="SI",(Datos!K18-Datos!U18)/Datos!U18,(Datos!K18+Datos!AE18-(Datos!U18+Datos!AM18))/(Datos!U18+Datos!AM18))
     ),IF(D_I="SI",(Datos!K18-Datos!U18)/Datos!U18,(Datos!K18+Datos!AE18-(Datos!U18+Datos!AM18))/(Datos!U18+Datos!AM18))," - ")</f>
        <v>7.9853862212943633E-2</v>
      </c>
      <c r="G18" s="358">
        <f>IF(ISNUMBER(
   IF(D_I="SI",(Datos!L18-Datos!V18)/Datos!V18,(Datos!L18+Datos!AF18-(Datos!V18+Datos!AN18))/(Datos!V18+Datos!AN18))
     ),IF(D_I="SI",(Datos!L18-Datos!V18)/Datos!V18,(Datos!L18+Datos!AF18-(Datos!V18+Datos!AN18))/(Datos!V18+Datos!AN18))," - ")</f>
        <v>1.0954616588419406E-2</v>
      </c>
      <c r="H18" s="359">
        <f>IF(ISNUMBER((Datos!M18-Datos!W18)/Datos!W18),(Datos!M18-Datos!W18)/Datos!W18," - ")</f>
        <v>0.18900343642611683</v>
      </c>
      <c r="I18" s="360">
        <f>IF(ISNUMBER((Tasas!C18-Datos!BE18)/Datos!BE18),(Tasas!C18-Datos!BE18)/Datos!BE18," - ")</f>
        <v>-6.3804231327495575E-2</v>
      </c>
      <c r="J18" s="358">
        <f>IF(ISNUMBER((Tasas!D18-Datos!BF18)/Datos!BF18),(Tasas!D18-Datos!BF18)/Datos!BF18," - ")</f>
        <v>0.10107809772471722</v>
      </c>
      <c r="K18" s="361">
        <f>IF(ISNUMBER((Tasas!E18-Datos!BG18)/Datos!BG18),(Tasas!E18-Datos!BG18)/Datos!BG18," - ")</f>
        <v>-3.4457537340470558E-2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0.10413476263399694</v>
      </c>
      <c r="E19" s="366">
        <f>IF(ISNUMBER(
   IF(J_V="SI",(Datos!J19-Datos!T19)/Datos!T19,(Datos!J19+Datos!Z19-(Datos!T19+Datos!AH19))/(Datos!T19+Datos!AH19))
     ),IF(J_V="SI",(Datos!J19-Datos!T19)/Datos!T19,(Datos!J19+Datos!Z19-(Datos!T19+Datos!AH19))/(Datos!T19+Datos!AH19))," - ")</f>
        <v>7.7285112707456027E-2</v>
      </c>
      <c r="F19" s="366">
        <f>IF(ISNUMBER(
   IF(J_V="SI",(Datos!K19-Datos!U19)/Datos!U19,(Datos!K19+Datos!AA19-(Datos!U19+Datos!AI19))/(Datos!U19+Datos!AI19))
     ),IF(J_V="SI",(Datos!K19-Datos!U19)/Datos!U19,(Datos!K19+Datos!AA19-(Datos!U19+Datos!AI19))/(Datos!U19+Datos!AI19))," - ")</f>
        <v>0.13173318448227742</v>
      </c>
      <c r="G19" s="367">
        <f>IF(ISNUMBER(
   IF(J_V="SI",(Datos!L19-Datos!V19)/Datos!V19,(Datos!L19+Datos!AB19-(Datos!V19+Datos!AJ19))/(Datos!V19+Datos!AJ19))
     ),IF(J_V="SI",(Datos!L19-Datos!V19)/Datos!V19,(Datos!L19+Datos!AB19-(Datos!V19+Datos!AJ19))/(Datos!V19+Datos!AJ19))," - ")</f>
        <v>8.2973841211564939E-2</v>
      </c>
      <c r="H19" s="368">
        <f>IF(ISNUMBER((Datos!M19-Datos!W19)/Datos!W19),(Datos!M19-Datos!W19)/Datos!W19," - ")</f>
        <v>0.29040097205346294</v>
      </c>
      <c r="I19" s="365">
        <f>IF(ISNUMBER((Tasas!C19-Datos!BE19)/Datos!BE19),(Tasas!C19-Datos!BE19)/Datos!BE19," - ")</f>
        <v>-4.3083779762999583E-2</v>
      </c>
      <c r="J19" s="366">
        <f>IF(ISNUMBER((Tasas!D19-Datos!BF19)/Datos!BF19),(Tasas!D19-Datos!BF19)/Datos!BF19," - ")</f>
        <v>2.6678034789694167E-2</v>
      </c>
      <c r="K19" s="367">
        <f>IF(ISNUMBER((Tasas!E19-Datos!BG19)/Datos!BG19),(Tasas!E19-Datos!BG19)/Datos!BG19," - ")</f>
        <v>-3.0998009335734537E-2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0.16869328367506045</v>
      </c>
      <c r="E21" s="281">
        <f t="shared" si="1"/>
        <v>0.27184198671519788</v>
      </c>
      <c r="F21" s="281">
        <f t="shared" si="1"/>
        <v>0.50045827378891539</v>
      </c>
      <c r="G21" s="282">
        <f t="shared" si="1"/>
        <v>0.25499372304672063</v>
      </c>
      <c r="H21" s="288">
        <f t="shared" si="1"/>
        <v>0.27648149008250628</v>
      </c>
      <c r="I21" s="280">
        <f t="shared" si="1"/>
        <v>0.41921181832020032</v>
      </c>
      <c r="J21" s="281">
        <f t="shared" si="1"/>
        <v>0.13751804088055972</v>
      </c>
      <c r="K21" s="282">
        <f t="shared" si="1"/>
        <v>0.36343861739530436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LKLWlNEGe0gMXeTbEa6heZpr15BDT8eVcK8AYZjpyEW0+0U1S1hjgKxtVA2AuG2yeXIsP3gYChypUk1CXLR1Q==" saltValue="SHvS2iWytqqGzhDRKqP9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